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01 - AMBULANCIA\planilha corrigida pelo setor de contratos\"/>
    </mc:Choice>
  </mc:AlternateContent>
  <xr:revisionPtr revIDLastSave="0" documentId="13_ncr:1_{FF10369D-F0F4-477E-A7A5-9E746017784D}" xr6:coauthVersionLast="47" xr6:coauthVersionMax="47" xr10:uidLastSave="{00000000-0000-0000-0000-000000000000}"/>
  <bookViews>
    <workbookView xWindow="-120" yWindow="-120" windowWidth="21840" windowHeight="13140" tabRatio="869" firstSheet="2" activeTab="2" xr2:uid="{00000000-000D-0000-FFFF-FFFF00000000}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91" r:id="rId10"/>
    <sheet name="Médico - Noturno" sheetId="92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Diurno'!$A$1:$D$112</definedName>
    <definedName name="_xlnm.Print_Area" localSheetId="8">'Enfermeiro - Noturno'!$A$1:$D$113</definedName>
    <definedName name="_xlnm.Print_Area" localSheetId="13">Equipamentos!$A$1:$H$35</definedName>
    <definedName name="_xlnm.Print_Area" localSheetId="12">Materiais!$A$1:$H$27</definedName>
    <definedName name="_xlnm.Print_Area" localSheetId="9">'Médico - Diurno '!$A$1:$D$122</definedName>
    <definedName name="_xlnm.Print_Area" localSheetId="10">'Médico - Noturno'!$A$1:$D$122</definedName>
    <definedName name="_xlnm.Print_Area" localSheetId="3">'Motorista - Diurno'!$A$1:$G$112</definedName>
    <definedName name="_xlnm.Print_Area" localSheetId="4">'Motorista - Noturno'!$A$1:$E$113</definedName>
    <definedName name="_xlnm.Print_Area" localSheetId="2">Planilha!$A$1:$H$30</definedName>
    <definedName name="_xlnm.Print_Area" localSheetId="5">'Técnico de Enfermagem - Diurno'!$A$1:$F$113</definedName>
    <definedName name="_xlnm.Print_Area" localSheetId="6">'Técnico de Enfermagem - Noturno'!$A$1:$D$113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88" l="1"/>
  <c r="D65" i="91" l="1"/>
  <c r="D70" i="91"/>
  <c r="D69" i="91"/>
  <c r="D68" i="91"/>
  <c r="D67" i="91"/>
  <c r="D66" i="91"/>
  <c r="C64" i="91"/>
  <c r="D64" i="91" s="1"/>
  <c r="D71" i="91" s="1"/>
  <c r="C71" i="91" l="1"/>
  <c r="C97" i="92" l="1"/>
  <c r="C102" i="92" s="1"/>
  <c r="D75" i="92"/>
  <c r="C61" i="92"/>
  <c r="D20" i="92"/>
  <c r="C97" i="91"/>
  <c r="C102" i="91" s="1"/>
  <c r="C41" i="91"/>
  <c r="C61" i="91"/>
  <c r="D75" i="91"/>
  <c r="D20" i="91"/>
  <c r="C98" i="84"/>
  <c r="C103" i="84" s="1"/>
  <c r="D48" i="91"/>
  <c r="D52" i="91" s="1"/>
  <c r="C62" i="84"/>
  <c r="D53" i="84"/>
  <c r="D49" i="84"/>
  <c r="C41" i="84"/>
  <c r="D20" i="84"/>
  <c r="D18" i="84"/>
  <c r="C97" i="83"/>
  <c r="C102" i="83" s="1"/>
  <c r="C95" i="83" s="1"/>
  <c r="D75" i="83"/>
  <c r="C61" i="83"/>
  <c r="C41" i="83"/>
  <c r="D20" i="83"/>
  <c r="D18" i="83"/>
  <c r="C98" i="89"/>
  <c r="C103" i="89" s="1"/>
  <c r="C98" i="88"/>
  <c r="C103" i="88" s="1"/>
  <c r="C97" i="11"/>
  <c r="C98" i="67"/>
  <c r="C103" i="67" s="1"/>
  <c r="C99" i="67"/>
  <c r="C98" i="11"/>
  <c r="C102" i="11"/>
  <c r="C62" i="89"/>
  <c r="D45" i="89"/>
  <c r="C41" i="89"/>
  <c r="D20" i="89"/>
  <c r="C62" i="88"/>
  <c r="F47" i="88"/>
  <c r="F45" i="88"/>
  <c r="E45" i="88"/>
  <c r="D45" i="88"/>
  <c r="C41" i="88"/>
  <c r="F25" i="88"/>
  <c r="F20" i="88"/>
  <c r="E20" i="88"/>
  <c r="D20" i="88"/>
  <c r="F18" i="88"/>
  <c r="E18" i="88"/>
  <c r="D18" i="88"/>
  <c r="D49" i="67"/>
  <c r="D53" i="67" s="1"/>
  <c r="E45" i="67"/>
  <c r="E49" i="67" s="1"/>
  <c r="E53" i="67" s="1"/>
  <c r="D45" i="67"/>
  <c r="E20" i="67"/>
  <c r="D20" i="67"/>
  <c r="E18" i="67"/>
  <c r="E47" i="67" s="1"/>
  <c r="D18" i="67"/>
  <c r="D47" i="67" s="1"/>
  <c r="C95" i="11"/>
  <c r="G74" i="11"/>
  <c r="G75" i="11" s="1"/>
  <c r="F74" i="11"/>
  <c r="F75" i="11" s="1"/>
  <c r="E74" i="11"/>
  <c r="E75" i="11" s="1"/>
  <c r="D74" i="11"/>
  <c r="D75" i="11" s="1"/>
  <c r="C61" i="11"/>
  <c r="C41" i="11"/>
  <c r="G44" i="11"/>
  <c r="F44" i="11"/>
  <c r="E44" i="11"/>
  <c r="D44" i="11"/>
  <c r="G20" i="11"/>
  <c r="F20" i="11"/>
  <c r="E20" i="11"/>
  <c r="D20" i="11"/>
  <c r="G18" i="11"/>
  <c r="G46" i="11" s="1"/>
  <c r="F18" i="11"/>
  <c r="F46" i="11" s="1"/>
  <c r="E18" i="11"/>
  <c r="E46" i="11" s="1"/>
  <c r="D18" i="11"/>
  <c r="D46" i="11" s="1"/>
  <c r="E48" i="11" l="1"/>
  <c r="E52" i="11" s="1"/>
  <c r="F48" i="11"/>
  <c r="F52" i="11" s="1"/>
  <c r="G48" i="11"/>
  <c r="G52" i="11" s="1"/>
  <c r="D48" i="11"/>
  <c r="D52" i="11" s="1"/>
  <c r="E25" i="11"/>
  <c r="F58" i="88"/>
  <c r="D25" i="83"/>
  <c r="F25" i="11"/>
  <c r="D47" i="88"/>
  <c r="D49" i="88" s="1"/>
  <c r="D53" i="88" s="1"/>
  <c r="D25" i="88"/>
  <c r="F61" i="88"/>
  <c r="G25" i="11"/>
  <c r="E47" i="88"/>
  <c r="E49" i="88" s="1"/>
  <c r="E53" i="88" s="1"/>
  <c r="E25" i="88"/>
  <c r="F49" i="88"/>
  <c r="F53" i="88" s="1"/>
  <c r="D21" i="84"/>
  <c r="D25" i="84" s="1"/>
  <c r="D25" i="11"/>
  <c r="F60" i="88"/>
  <c r="F59" i="88"/>
  <c r="F29" i="88"/>
  <c r="F57" i="88"/>
  <c r="F62" i="88" s="1"/>
  <c r="D21" i="67"/>
  <c r="D25" i="67" s="1"/>
  <c r="E21" i="67"/>
  <c r="E25" i="67" s="1"/>
  <c r="D61" i="84" l="1"/>
  <c r="D57" i="84"/>
  <c r="D60" i="84"/>
  <c r="D59" i="84"/>
  <c r="D29" i="84"/>
  <c r="D58" i="84"/>
  <c r="E60" i="67"/>
  <c r="E29" i="67"/>
  <c r="E59" i="67"/>
  <c r="E61" i="67"/>
  <c r="E58" i="67"/>
  <c r="E57" i="67"/>
  <c r="E62" i="67" s="1"/>
  <c r="D106" i="67"/>
  <c r="D58" i="67"/>
  <c r="D61" i="67"/>
  <c r="D57" i="67"/>
  <c r="D59" i="67"/>
  <c r="D29" i="67"/>
  <c r="D60" i="67"/>
  <c r="D60" i="88"/>
  <c r="D59" i="88"/>
  <c r="D29" i="88"/>
  <c r="D61" i="88"/>
  <c r="D58" i="88"/>
  <c r="D57" i="88"/>
  <c r="D62" i="88" s="1"/>
  <c r="E58" i="88"/>
  <c r="E61" i="88"/>
  <c r="E57" i="88"/>
  <c r="E60" i="88"/>
  <c r="E29" i="88"/>
  <c r="E59" i="88"/>
  <c r="D58" i="11"/>
  <c r="D57" i="11"/>
  <c r="D60" i="11"/>
  <c r="D56" i="11"/>
  <c r="D59" i="11"/>
  <c r="D29" i="11"/>
  <c r="F60" i="11"/>
  <c r="F56" i="11"/>
  <c r="F59" i="11"/>
  <c r="F29" i="11"/>
  <c r="F58" i="11"/>
  <c r="F57" i="11"/>
  <c r="G58" i="11"/>
  <c r="G57" i="11"/>
  <c r="G56" i="11"/>
  <c r="G60" i="11"/>
  <c r="G29" i="11"/>
  <c r="G59" i="11"/>
  <c r="D58" i="83"/>
  <c r="D57" i="83"/>
  <c r="D29" i="83"/>
  <c r="D60" i="83"/>
  <c r="D59" i="83"/>
  <c r="D56" i="83"/>
  <c r="D61" i="83" s="1"/>
  <c r="E60" i="11"/>
  <c r="E56" i="11"/>
  <c r="E59" i="11"/>
  <c r="E58" i="11"/>
  <c r="E29" i="11"/>
  <c r="E57" i="11"/>
  <c r="F106" i="88"/>
  <c r="C62" i="67"/>
  <c r="F61" i="11" l="1"/>
  <c r="D61" i="11"/>
  <c r="E62" i="88"/>
  <c r="E61" i="11"/>
  <c r="D62" i="67"/>
  <c r="D62" i="84"/>
  <c r="G61" i="11"/>
  <c r="F108" i="88"/>
  <c r="C41" i="92"/>
  <c r="C41" i="67"/>
  <c r="C64" i="92" l="1"/>
  <c r="C65" i="84"/>
  <c r="C64" i="83"/>
  <c r="C65" i="89"/>
  <c r="C72" i="89" s="1"/>
  <c r="C80" i="89" s="1"/>
  <c r="C82" i="89" s="1"/>
  <c r="C65" i="88"/>
  <c r="C65" i="67"/>
  <c r="C72" i="67" s="1"/>
  <c r="C80" i="67" s="1"/>
  <c r="C64" i="11"/>
  <c r="C71" i="11" l="1"/>
  <c r="C79" i="11" s="1"/>
  <c r="C81" i="11" s="1"/>
  <c r="C71" i="83"/>
  <c r="C79" i="83" s="1"/>
  <c r="C81" i="83" s="1"/>
  <c r="C72" i="84"/>
  <c r="C80" i="84" s="1"/>
  <c r="C82" i="84" s="1"/>
  <c r="C72" i="88"/>
  <c r="C80" i="88" s="1"/>
  <c r="C79" i="91"/>
  <c r="C81" i="91" s="1"/>
  <c r="C71" i="92"/>
  <c r="C79" i="92" s="1"/>
  <c r="C81" i="92" s="1"/>
  <c r="C13" i="92"/>
  <c r="D18" i="92" s="1"/>
  <c r="C13" i="91"/>
  <c r="D18" i="91" s="1"/>
  <c r="D25" i="91" s="1"/>
  <c r="D60" i="91" l="1"/>
  <c r="D56" i="91"/>
  <c r="D59" i="91"/>
  <c r="D58" i="91"/>
  <c r="D57" i="91"/>
  <c r="D29" i="91"/>
  <c r="D25" i="92"/>
  <c r="D21" i="92"/>
  <c r="C98" i="92"/>
  <c r="C98" i="91"/>
  <c r="C99" i="84"/>
  <c r="C98" i="83"/>
  <c r="C99" i="89"/>
  <c r="C99" i="88"/>
  <c r="D59" i="92" l="1"/>
  <c r="D58" i="92"/>
  <c r="D60" i="92"/>
  <c r="D57" i="92"/>
  <c r="D29" i="92"/>
  <c r="D56" i="92"/>
  <c r="D61" i="91"/>
  <c r="F12" i="90"/>
  <c r="G12" i="90" s="1"/>
  <c r="H12" i="90" s="1"/>
  <c r="H16" i="90" s="1"/>
  <c r="H21" i="90" s="1"/>
  <c r="E15" i="90"/>
  <c r="G15" i="90" s="1"/>
  <c r="H15" i="90" s="1"/>
  <c r="E14" i="90"/>
  <c r="G14" i="90" s="1"/>
  <c r="H14" i="90" s="1"/>
  <c r="E12" i="90"/>
  <c r="G7" i="90"/>
  <c r="H7" i="90" s="1"/>
  <c r="E7" i="90"/>
  <c r="E6" i="90"/>
  <c r="G6" i="90" s="1"/>
  <c r="H6" i="90" s="1"/>
  <c r="E4" i="90"/>
  <c r="D86" i="83" l="1"/>
  <c r="D87" i="84"/>
  <c r="G86" i="11"/>
  <c r="D86" i="91"/>
  <c r="E87" i="67"/>
  <c r="D86" i="92"/>
  <c r="D61" i="92"/>
  <c r="F4" i="90"/>
  <c r="F6" i="59" l="1"/>
  <c r="F4" i="59"/>
  <c r="E6" i="82"/>
  <c r="G6" i="82" s="1"/>
  <c r="H6" i="82" s="1"/>
  <c r="E5" i="82"/>
  <c r="G5" i="82" s="1"/>
  <c r="H5" i="82" s="1"/>
  <c r="E4" i="82"/>
  <c r="G4" i="82" s="1"/>
  <c r="H4" i="82" s="1"/>
  <c r="A4" i="82"/>
  <c r="A5" i="82" s="1"/>
  <c r="E3" i="82"/>
  <c r="G3" i="82" s="1"/>
  <c r="H3" i="82" s="1"/>
  <c r="H7" i="82" s="1"/>
  <c r="D85" i="91" l="1"/>
  <c r="D86" i="89"/>
  <c r="E86" i="67"/>
  <c r="E85" i="11"/>
  <c r="F86" i="88"/>
  <c r="D86" i="67"/>
  <c r="D85" i="11"/>
  <c r="E86" i="88"/>
  <c r="D86" i="88"/>
  <c r="D86" i="84"/>
  <c r="G85" i="11"/>
  <c r="D85" i="92"/>
  <c r="D85" i="83"/>
  <c r="F85" i="11"/>
  <c r="C95" i="92"/>
  <c r="C28" i="92"/>
  <c r="C95" i="91"/>
  <c r="C28" i="91"/>
  <c r="C30" i="92" l="1"/>
  <c r="D28" i="92"/>
  <c r="D30" i="92" s="1"/>
  <c r="C30" i="91"/>
  <c r="D28" i="91"/>
  <c r="D30" i="91" s="1"/>
  <c r="D48" i="92"/>
  <c r="D52" i="92" s="1"/>
  <c r="D50" i="91" l="1"/>
  <c r="D35" i="91"/>
  <c r="D39" i="91"/>
  <c r="D38" i="91"/>
  <c r="D37" i="91"/>
  <c r="D40" i="91"/>
  <c r="D36" i="91"/>
  <c r="D34" i="91"/>
  <c r="D33" i="91"/>
  <c r="D41" i="91" s="1"/>
  <c r="D51" i="91" s="1"/>
  <c r="D50" i="92"/>
  <c r="D35" i="92"/>
  <c r="D38" i="92"/>
  <c r="D37" i="92"/>
  <c r="D40" i="92"/>
  <c r="D39" i="92"/>
  <c r="D33" i="92"/>
  <c r="D36" i="92"/>
  <c r="D34" i="92"/>
  <c r="D105" i="92"/>
  <c r="D41" i="92" l="1"/>
  <c r="D51" i="92" s="1"/>
  <c r="D53" i="92" s="1"/>
  <c r="D53" i="91"/>
  <c r="D107" i="92"/>
  <c r="D105" i="91"/>
  <c r="D69" i="92" l="1"/>
  <c r="D68" i="92"/>
  <c r="D65" i="92"/>
  <c r="D66" i="92"/>
  <c r="D67" i="92"/>
  <c r="D64" i="92"/>
  <c r="D71" i="92" s="1"/>
  <c r="D79" i="92" s="1"/>
  <c r="D70" i="92"/>
  <c r="D107" i="91"/>
  <c r="D79" i="91" l="1"/>
  <c r="D80" i="92"/>
  <c r="D81" i="92" s="1"/>
  <c r="D82" i="92" s="1"/>
  <c r="D106" i="92"/>
  <c r="D108" i="92" l="1"/>
  <c r="D106" i="91"/>
  <c r="D80" i="91"/>
  <c r="D81" i="91" l="1"/>
  <c r="D82" i="91" s="1"/>
  <c r="D108" i="91" l="1"/>
  <c r="G105" i="11"/>
  <c r="G107" i="11" l="1"/>
  <c r="G4" i="90" l="1"/>
  <c r="H4" i="90" s="1"/>
  <c r="H8" i="90" s="1"/>
  <c r="H19" i="90" l="1"/>
  <c r="H18" i="90"/>
  <c r="H20" i="90"/>
  <c r="F12" i="59"/>
  <c r="F14" i="59"/>
  <c r="G14" i="59" s="1"/>
  <c r="H14" i="59" s="1"/>
  <c r="G12" i="59"/>
  <c r="H12" i="59" s="1"/>
  <c r="H21" i="59" s="1"/>
  <c r="G6" i="59"/>
  <c r="H6" i="59" s="1"/>
  <c r="G4" i="59"/>
  <c r="H4" i="59" s="1"/>
  <c r="G16" i="59"/>
  <c r="H16" i="59" s="1"/>
  <c r="G8" i="59"/>
  <c r="H8" i="59" s="1"/>
  <c r="C96" i="89"/>
  <c r="C76" i="89"/>
  <c r="C28" i="89"/>
  <c r="C30" i="89" s="1"/>
  <c r="D18" i="89"/>
  <c r="C96" i="88"/>
  <c r="C76" i="88"/>
  <c r="C82" i="88"/>
  <c r="C28" i="88"/>
  <c r="D21" i="89" l="1"/>
  <c r="D25" i="89" s="1"/>
  <c r="D47" i="89"/>
  <c r="D49" i="89" s="1"/>
  <c r="D53" i="89" s="1"/>
  <c r="C30" i="88"/>
  <c r="F28" i="88"/>
  <c r="F30" i="88" s="1"/>
  <c r="D28" i="88"/>
  <c r="D30" i="88" s="1"/>
  <c r="E28" i="88"/>
  <c r="E30" i="88" s="1"/>
  <c r="G87" i="11"/>
  <c r="G89" i="11" s="1"/>
  <c r="D87" i="83"/>
  <c r="D89" i="83" s="1"/>
  <c r="D87" i="91"/>
  <c r="D89" i="91" s="1"/>
  <c r="D90" i="91" s="1"/>
  <c r="E88" i="67"/>
  <c r="E90" i="67" s="1"/>
  <c r="D88" i="84"/>
  <c r="D90" i="84" s="1"/>
  <c r="D87" i="92"/>
  <c r="D89" i="92" s="1"/>
  <c r="D90" i="92" s="1"/>
  <c r="D93" i="92" s="1"/>
  <c r="D94" i="92" s="1"/>
  <c r="D95" i="92" s="1"/>
  <c r="D96" i="92" s="1"/>
  <c r="F86" i="11"/>
  <c r="D87" i="67"/>
  <c r="D87" i="89"/>
  <c r="F87" i="88"/>
  <c r="D86" i="11"/>
  <c r="D87" i="88"/>
  <c r="H20" i="59"/>
  <c r="H19" i="59"/>
  <c r="H18" i="59"/>
  <c r="E86" i="11"/>
  <c r="E87" i="88"/>
  <c r="D58" i="89" l="1"/>
  <c r="D29" i="89"/>
  <c r="D106" i="89"/>
  <c r="D61" i="89"/>
  <c r="D57" i="89"/>
  <c r="D28" i="89"/>
  <c r="D30" i="89" s="1"/>
  <c r="D51" i="89" s="1"/>
  <c r="D60" i="89"/>
  <c r="D35" i="89"/>
  <c r="D59" i="89"/>
  <c r="F90" i="88"/>
  <c r="F110" i="88" s="1"/>
  <c r="D88" i="67"/>
  <c r="D88" i="89"/>
  <c r="D90" i="89" s="1"/>
  <c r="F87" i="11"/>
  <c r="D88" i="88"/>
  <c r="D87" i="11"/>
  <c r="E87" i="11"/>
  <c r="E88" i="88"/>
  <c r="E90" i="88"/>
  <c r="E89" i="11"/>
  <c r="D90" i="88"/>
  <c r="D90" i="67"/>
  <c r="E51" i="88"/>
  <c r="E35" i="88"/>
  <c r="E34" i="88"/>
  <c r="E36" i="88"/>
  <c r="E33" i="88"/>
  <c r="E37" i="88"/>
  <c r="E39" i="88"/>
  <c r="E38" i="88"/>
  <c r="E40" i="88"/>
  <c r="D89" i="11"/>
  <c r="F89" i="11"/>
  <c r="D93" i="91"/>
  <c r="D94" i="91" s="1"/>
  <c r="D95" i="91" s="1"/>
  <c r="D96" i="91" s="1"/>
  <c r="D51" i="88"/>
  <c r="D40" i="88"/>
  <c r="D35" i="88"/>
  <c r="D37" i="88"/>
  <c r="D36" i="88"/>
  <c r="D33" i="88"/>
  <c r="D39" i="88"/>
  <c r="D34" i="88"/>
  <c r="D38" i="88"/>
  <c r="D101" i="92"/>
  <c r="D100" i="92"/>
  <c r="D99" i="92"/>
  <c r="F51" i="88"/>
  <c r="F36" i="88"/>
  <c r="F38" i="88"/>
  <c r="F37" i="88"/>
  <c r="F35" i="88"/>
  <c r="F34" i="88"/>
  <c r="F33" i="88"/>
  <c r="F41" i="88" s="1"/>
  <c r="F52" i="88" s="1"/>
  <c r="F39" i="88"/>
  <c r="F40" i="88"/>
  <c r="E106" i="88"/>
  <c r="F105" i="11"/>
  <c r="D106" i="88"/>
  <c r="F54" i="88" l="1"/>
  <c r="D41" i="88"/>
  <c r="D52" i="88" s="1"/>
  <c r="D54" i="88" s="1"/>
  <c r="D34" i="89"/>
  <c r="D38" i="89"/>
  <c r="D40" i="89"/>
  <c r="D102" i="92"/>
  <c r="D103" i="92" s="1"/>
  <c r="D39" i="89"/>
  <c r="D62" i="89"/>
  <c r="D108" i="89" s="1"/>
  <c r="D33" i="89"/>
  <c r="D99" i="91"/>
  <c r="D101" i="91"/>
  <c r="D100" i="91"/>
  <c r="D37" i="89"/>
  <c r="E41" i="88"/>
  <c r="E52" i="88" s="1"/>
  <c r="E54" i="88" s="1"/>
  <c r="D36" i="89"/>
  <c r="E108" i="88"/>
  <c r="D109" i="91"/>
  <c r="D110" i="91" s="1"/>
  <c r="D109" i="92"/>
  <c r="D110" i="92" s="1"/>
  <c r="D108" i="88"/>
  <c r="F107" i="11"/>
  <c r="D67" i="88" l="1"/>
  <c r="D71" i="88"/>
  <c r="D69" i="88"/>
  <c r="D65" i="88"/>
  <c r="D72" i="88" s="1"/>
  <c r="D68" i="88"/>
  <c r="D66" i="88"/>
  <c r="D70" i="88"/>
  <c r="E70" i="88"/>
  <c r="E69" i="88"/>
  <c r="E66" i="88"/>
  <c r="E71" i="88"/>
  <c r="E68" i="88"/>
  <c r="E67" i="88"/>
  <c r="E65" i="88"/>
  <c r="D102" i="91"/>
  <c r="D103" i="91" s="1"/>
  <c r="D41" i="89"/>
  <c r="D52" i="89" s="1"/>
  <c r="D54" i="89" s="1"/>
  <c r="F66" i="88"/>
  <c r="F65" i="88"/>
  <c r="F69" i="88"/>
  <c r="F71" i="88"/>
  <c r="F68" i="88"/>
  <c r="F70" i="88"/>
  <c r="F67" i="88"/>
  <c r="F107" i="88"/>
  <c r="F81" i="88"/>
  <c r="F75" i="88"/>
  <c r="F76" i="88" s="1"/>
  <c r="D107" i="89" l="1"/>
  <c r="D65" i="89"/>
  <c r="D67" i="89"/>
  <c r="D70" i="89"/>
  <c r="D68" i="89"/>
  <c r="D66" i="89"/>
  <c r="D69" i="89"/>
  <c r="F72" i="88"/>
  <c r="F80" i="88" s="1"/>
  <c r="F82" i="88" s="1"/>
  <c r="F83" i="88" s="1"/>
  <c r="F91" i="88" s="1"/>
  <c r="E72" i="88"/>
  <c r="D107" i="88"/>
  <c r="D81" i="89"/>
  <c r="D75" i="89"/>
  <c r="D76" i="89" s="1"/>
  <c r="D111" i="92" l="1"/>
  <c r="D112" i="92" s="1"/>
  <c r="F94" i="88"/>
  <c r="D81" i="88"/>
  <c r="D75" i="88"/>
  <c r="D76" i="88" s="1"/>
  <c r="D111" i="91"/>
  <c r="F109" i="88"/>
  <c r="F111" i="88" s="1"/>
  <c r="E75" i="88"/>
  <c r="E76" i="88" s="1"/>
  <c r="E107" i="88"/>
  <c r="E81" i="88"/>
  <c r="D112" i="91" l="1"/>
  <c r="C28" i="87" s="1"/>
  <c r="F28" i="87" s="1"/>
  <c r="G28" i="87" s="1"/>
  <c r="H28" i="87" s="1"/>
  <c r="F95" i="88"/>
  <c r="D105" i="11"/>
  <c r="C96" i="84"/>
  <c r="C76" i="84"/>
  <c r="C28" i="84"/>
  <c r="C28" i="83"/>
  <c r="C30" i="83" l="1"/>
  <c r="D28" i="83"/>
  <c r="D30" i="83" s="1"/>
  <c r="C30" i="84"/>
  <c r="D28" i="84"/>
  <c r="D30" i="84" s="1"/>
  <c r="C29" i="87"/>
  <c r="F29" i="87" s="1"/>
  <c r="G29" i="87" s="1"/>
  <c r="H29" i="87" s="1"/>
  <c r="F96" i="88"/>
  <c r="F97" i="88" s="1"/>
  <c r="D107" i="11"/>
  <c r="D48" i="83"/>
  <c r="D52" i="83" s="1"/>
  <c r="D51" i="84" l="1"/>
  <c r="D36" i="84"/>
  <c r="D35" i="84"/>
  <c r="D37" i="84"/>
  <c r="D38" i="84"/>
  <c r="D34" i="84"/>
  <c r="D33" i="84"/>
  <c r="D41" i="84" s="1"/>
  <c r="D52" i="84" s="1"/>
  <c r="D40" i="84"/>
  <c r="D39" i="84"/>
  <c r="D50" i="83"/>
  <c r="D36" i="83"/>
  <c r="D35" i="83"/>
  <c r="D33" i="83"/>
  <c r="D34" i="83"/>
  <c r="D37" i="83"/>
  <c r="D40" i="83"/>
  <c r="D39" i="83"/>
  <c r="D38" i="83"/>
  <c r="F102" i="88"/>
  <c r="F101" i="88"/>
  <c r="F100" i="88"/>
  <c r="D108" i="67"/>
  <c r="D106" i="84"/>
  <c r="D105" i="83"/>
  <c r="D41" i="83" l="1"/>
  <c r="D51" i="83" s="1"/>
  <c r="D53" i="83" s="1"/>
  <c r="D54" i="84"/>
  <c r="F103" i="88"/>
  <c r="F104" i="88" s="1"/>
  <c r="F112" i="88" s="1"/>
  <c r="D108" i="84"/>
  <c r="D107" i="83"/>
  <c r="D65" i="83" l="1"/>
  <c r="D64" i="83"/>
  <c r="D70" i="83"/>
  <c r="D69" i="83"/>
  <c r="D66" i="83"/>
  <c r="D68" i="83"/>
  <c r="D67" i="83"/>
  <c r="D69" i="84"/>
  <c r="D66" i="84"/>
  <c r="D68" i="84"/>
  <c r="D67" i="84"/>
  <c r="D70" i="84"/>
  <c r="D71" i="84"/>
  <c r="D65" i="84"/>
  <c r="F113" i="88"/>
  <c r="C21" i="87" s="1"/>
  <c r="D107" i="84"/>
  <c r="D81" i="84"/>
  <c r="D75" i="84"/>
  <c r="D76" i="84" s="1"/>
  <c r="D72" i="84" l="1"/>
  <c r="D80" i="84" s="1"/>
  <c r="D82" i="84" s="1"/>
  <c r="D83" i="84" s="1"/>
  <c r="D91" i="84" s="1"/>
  <c r="D71" i="83"/>
  <c r="D79" i="83" s="1"/>
  <c r="D106" i="83"/>
  <c r="D94" i="84" l="1"/>
  <c r="D95" i="84" s="1"/>
  <c r="D80" i="83"/>
  <c r="D81" i="83" s="1"/>
  <c r="E105" i="11"/>
  <c r="D96" i="84" l="1"/>
  <c r="D97" i="84" s="1"/>
  <c r="E107" i="11"/>
  <c r="D101" i="84" l="1"/>
  <c r="D102" i="84"/>
  <c r="D100" i="84"/>
  <c r="D103" i="84" s="1"/>
  <c r="D104" i="84" s="1"/>
  <c r="C76" i="67"/>
  <c r="D71" i="89" l="1"/>
  <c r="D72" i="89" s="1"/>
  <c r="D80" i="89" s="1"/>
  <c r="D82" i="89" s="1"/>
  <c r="D83" i="89" s="1"/>
  <c r="D91" i="89" s="1"/>
  <c r="D94" i="89" l="1"/>
  <c r="D95" i="89" s="1"/>
  <c r="D96" i="89" s="1"/>
  <c r="D97" i="89" s="1"/>
  <c r="D109" i="84"/>
  <c r="D82" i="83"/>
  <c r="D108" i="83" s="1"/>
  <c r="F109" i="11"/>
  <c r="E109" i="11"/>
  <c r="D110" i="84"/>
  <c r="D109" i="83"/>
  <c r="D110" i="89"/>
  <c r="D110" i="67"/>
  <c r="D109" i="11"/>
  <c r="D110" i="83" l="1"/>
  <c r="D111" i="84"/>
  <c r="D102" i="89"/>
  <c r="D101" i="89"/>
  <c r="D100" i="89"/>
  <c r="E80" i="88"/>
  <c r="E82" i="88" s="1"/>
  <c r="E83" i="88" s="1"/>
  <c r="E91" i="88" s="1"/>
  <c r="D80" i="88"/>
  <c r="D82" i="88" s="1"/>
  <c r="D83" i="88" s="1"/>
  <c r="D91" i="88" s="1"/>
  <c r="D110" i="88"/>
  <c r="G109" i="11"/>
  <c r="D90" i="83"/>
  <c r="E110" i="88"/>
  <c r="C96" i="67"/>
  <c r="C82" i="67"/>
  <c r="C28" i="67"/>
  <c r="C30" i="67" l="1"/>
  <c r="E28" i="67"/>
  <c r="E30" i="67" s="1"/>
  <c r="D28" i="67"/>
  <c r="D30" i="67" s="1"/>
  <c r="D103" i="89"/>
  <c r="D104" i="89" s="1"/>
  <c r="D93" i="83"/>
  <c r="E94" i="88"/>
  <c r="D94" i="88"/>
  <c r="D95" i="88" s="1"/>
  <c r="D96" i="88" s="1"/>
  <c r="D97" i="88" s="1"/>
  <c r="D109" i="89"/>
  <c r="D111" i="89" s="1"/>
  <c r="D51" i="67" l="1"/>
  <c r="D36" i="67"/>
  <c r="D37" i="67"/>
  <c r="D35" i="67"/>
  <c r="D41" i="67" s="1"/>
  <c r="D52" i="67" s="1"/>
  <c r="D38" i="67"/>
  <c r="D34" i="67"/>
  <c r="D33" i="67"/>
  <c r="E51" i="67"/>
  <c r="E33" i="67"/>
  <c r="E36" i="67"/>
  <c r="E39" i="67"/>
  <c r="E35" i="67"/>
  <c r="E37" i="67"/>
  <c r="E40" i="67"/>
  <c r="E38" i="67"/>
  <c r="E34" i="67"/>
  <c r="D40" i="67"/>
  <c r="D94" i="83"/>
  <c r="D95" i="83" s="1"/>
  <c r="D96" i="83" s="1"/>
  <c r="E95" i="88"/>
  <c r="E96" i="88"/>
  <c r="E97" i="88" s="1"/>
  <c r="D100" i="88"/>
  <c r="D102" i="88"/>
  <c r="D101" i="88"/>
  <c r="D39" i="67"/>
  <c r="E109" i="88"/>
  <c r="E111" i="88" s="1"/>
  <c r="D109" i="88"/>
  <c r="D111" i="88" s="1"/>
  <c r="E106" i="67"/>
  <c r="E110" i="67"/>
  <c r="E41" i="67" l="1"/>
  <c r="E52" i="67" s="1"/>
  <c r="E54" i="67" s="1"/>
  <c r="D54" i="67"/>
  <c r="D101" i="83"/>
  <c r="D100" i="83"/>
  <c r="D99" i="83"/>
  <c r="E100" i="88"/>
  <c r="E102" i="88"/>
  <c r="E101" i="88"/>
  <c r="D103" i="88"/>
  <c r="D104" i="88" s="1"/>
  <c r="D112" i="88" s="1"/>
  <c r="D113" i="88" s="1"/>
  <c r="D112" i="84"/>
  <c r="D113" i="84" s="1"/>
  <c r="D107" i="67"/>
  <c r="D81" i="67"/>
  <c r="D75" i="67"/>
  <c r="D76" i="67" s="1"/>
  <c r="E108" i="67"/>
  <c r="E69" i="67" l="1"/>
  <c r="E67" i="67"/>
  <c r="E65" i="67"/>
  <c r="E70" i="67"/>
  <c r="E68" i="67"/>
  <c r="E66" i="67"/>
  <c r="E71" i="67"/>
  <c r="D69" i="67"/>
  <c r="D67" i="67"/>
  <c r="D66" i="67"/>
  <c r="D70" i="67"/>
  <c r="D68" i="67"/>
  <c r="D65" i="67"/>
  <c r="D71" i="67"/>
  <c r="D102" i="83"/>
  <c r="D103" i="83" s="1"/>
  <c r="D111" i="83" s="1"/>
  <c r="D112" i="83" s="1"/>
  <c r="E103" i="88"/>
  <c r="E104" i="88" s="1"/>
  <c r="E112" i="88" s="1"/>
  <c r="E113" i="88" s="1"/>
  <c r="D112" i="89"/>
  <c r="D113" i="89" s="1"/>
  <c r="E72" i="67" l="1"/>
  <c r="E80" i="67" s="1"/>
  <c r="D72" i="67"/>
  <c r="D80" i="67" s="1"/>
  <c r="D82" i="67" s="1"/>
  <c r="D83" i="67" s="1"/>
  <c r="C27" i="87"/>
  <c r="F27" i="87" s="1"/>
  <c r="G27" i="87" s="1"/>
  <c r="H27" i="87" s="1"/>
  <c r="C26" i="87"/>
  <c r="F26" i="87" s="1"/>
  <c r="G26" i="87" s="1"/>
  <c r="H26" i="87" s="1"/>
  <c r="C22" i="87"/>
  <c r="F22" i="87" s="1"/>
  <c r="G22" i="87" s="1"/>
  <c r="H22" i="87" s="1"/>
  <c r="F21" i="87"/>
  <c r="G21" i="87" s="1"/>
  <c r="H21" i="87" s="1"/>
  <c r="C14" i="87"/>
  <c r="F14" i="87" s="1"/>
  <c r="G14" i="87" s="1"/>
  <c r="H14" i="87" s="1"/>
  <c r="C17" i="87"/>
  <c r="F17" i="87" s="1"/>
  <c r="G17" i="87" s="1"/>
  <c r="H17" i="87" s="1"/>
  <c r="E107" i="67"/>
  <c r="E75" i="67"/>
  <c r="E76" i="67" s="1"/>
  <c r="E81" i="67"/>
  <c r="E82" i="67" s="1"/>
  <c r="E83" i="67" s="1"/>
  <c r="E91" i="67" s="1"/>
  <c r="E94" i="67" s="1"/>
  <c r="E95" i="67" s="1"/>
  <c r="E96" i="67" s="1"/>
  <c r="E97" i="67" s="1"/>
  <c r="D91" i="67" l="1"/>
  <c r="D109" i="67"/>
  <c r="D111" i="67" s="1"/>
  <c r="E102" i="67"/>
  <c r="E101" i="67"/>
  <c r="E100" i="67"/>
  <c r="E109" i="67"/>
  <c r="E111" i="67" s="1"/>
  <c r="E103" i="67" l="1"/>
  <c r="E104" i="67" s="1"/>
  <c r="D94" i="67"/>
  <c r="D95" i="67" s="1"/>
  <c r="D96" i="67" l="1"/>
  <c r="D97" i="67" s="1"/>
  <c r="C28" i="11"/>
  <c r="C30" i="11" l="1"/>
  <c r="F28" i="11"/>
  <c r="F30" i="11" s="1"/>
  <c r="G28" i="11"/>
  <c r="G30" i="11" s="1"/>
  <c r="E28" i="11"/>
  <c r="E30" i="11" s="1"/>
  <c r="D28" i="11"/>
  <c r="D30" i="11" s="1"/>
  <c r="D100" i="67"/>
  <c r="D102" i="67"/>
  <c r="D101" i="67"/>
  <c r="E112" i="67"/>
  <c r="E113" i="67" s="1"/>
  <c r="D13" i="2"/>
  <c r="D12" i="2"/>
  <c r="D11" i="2"/>
  <c r="D10" i="2"/>
  <c r="D9" i="2"/>
  <c r="D8" i="2"/>
  <c r="G50" i="11" l="1"/>
  <c r="G33" i="11"/>
  <c r="G36" i="11"/>
  <c r="G35" i="11"/>
  <c r="G38" i="11"/>
  <c r="G34" i="11"/>
  <c r="G37" i="11"/>
  <c r="G40" i="11"/>
  <c r="G39" i="11"/>
  <c r="E50" i="11"/>
  <c r="E38" i="11"/>
  <c r="E37" i="11"/>
  <c r="E39" i="11"/>
  <c r="E34" i="11"/>
  <c r="E33" i="11"/>
  <c r="E40" i="11"/>
  <c r="E36" i="11"/>
  <c r="E35" i="11"/>
  <c r="D103" i="67"/>
  <c r="D104" i="67" s="1"/>
  <c r="D112" i="67" s="1"/>
  <c r="D113" i="67" s="1"/>
  <c r="C20" i="87" s="1"/>
  <c r="F20" i="87" s="1"/>
  <c r="G20" i="87" s="1"/>
  <c r="H20" i="87" s="1"/>
  <c r="F50" i="11"/>
  <c r="F38" i="11"/>
  <c r="F33" i="11"/>
  <c r="F36" i="11"/>
  <c r="F39" i="11"/>
  <c r="F34" i="11"/>
  <c r="F35" i="11"/>
  <c r="F37" i="11"/>
  <c r="F40" i="11"/>
  <c r="D50" i="11"/>
  <c r="D37" i="11"/>
  <c r="D40" i="11"/>
  <c r="D39" i="11"/>
  <c r="D34" i="11"/>
  <c r="D33" i="11"/>
  <c r="D36" i="11"/>
  <c r="D35" i="11"/>
  <c r="D38" i="11"/>
  <c r="C25" i="87"/>
  <c r="F25" i="87" s="1"/>
  <c r="G25" i="87" s="1"/>
  <c r="H25" i="87" s="1"/>
  <c r="E41" i="11" l="1"/>
  <c r="E51" i="11" s="1"/>
  <c r="D41" i="11"/>
  <c r="D51" i="11" s="1"/>
  <c r="D53" i="11" s="1"/>
  <c r="F41" i="11"/>
  <c r="F51" i="11" s="1"/>
  <c r="F53" i="11" s="1"/>
  <c r="E53" i="11"/>
  <c r="G41" i="11"/>
  <c r="G51" i="11" s="1"/>
  <c r="G53" i="11"/>
  <c r="E80" i="11"/>
  <c r="E106" i="11"/>
  <c r="F65" i="11" l="1"/>
  <c r="F68" i="11"/>
  <c r="F67" i="11"/>
  <c r="F69" i="11"/>
  <c r="F70" i="11"/>
  <c r="F64" i="11"/>
  <c r="F66" i="11"/>
  <c r="F106" i="11"/>
  <c r="F80" i="11"/>
  <c r="D65" i="11"/>
  <c r="D64" i="11"/>
  <c r="D69" i="11"/>
  <c r="D66" i="11"/>
  <c r="D67" i="11"/>
  <c r="D70" i="11"/>
  <c r="D68" i="11"/>
  <c r="D80" i="11"/>
  <c r="D106" i="11"/>
  <c r="G70" i="11"/>
  <c r="G64" i="11"/>
  <c r="G68" i="11"/>
  <c r="G65" i="11"/>
  <c r="G69" i="11"/>
  <c r="G67" i="11"/>
  <c r="G66" i="11"/>
  <c r="G106" i="11"/>
  <c r="G80" i="11"/>
  <c r="E64" i="11"/>
  <c r="E68" i="11"/>
  <c r="E70" i="11"/>
  <c r="E69" i="11"/>
  <c r="E65" i="11"/>
  <c r="E67" i="11"/>
  <c r="E66" i="11"/>
  <c r="D71" i="11" l="1"/>
  <c r="D79" i="11" s="1"/>
  <c r="G71" i="11"/>
  <c r="G79" i="11" s="1"/>
  <c r="F71" i="11"/>
  <c r="F79" i="11" s="1"/>
  <c r="G81" i="11"/>
  <c r="G82" i="11" s="1"/>
  <c r="G108" i="11" s="1"/>
  <c r="G110" i="11" s="1"/>
  <c r="E71" i="11"/>
  <c r="E79" i="11" s="1"/>
  <c r="E81" i="11" s="1"/>
  <c r="E82" i="11" s="1"/>
  <c r="E90" i="11" s="1"/>
  <c r="D81" i="11"/>
  <c r="D82" i="11" s="1"/>
  <c r="D90" i="11" s="1"/>
  <c r="F81" i="11"/>
  <c r="F82" i="11" s="1"/>
  <c r="F90" i="11"/>
  <c r="F93" i="11" s="1"/>
  <c r="E93" i="11"/>
  <c r="E94" i="11" s="1"/>
  <c r="D108" i="11"/>
  <c r="D110" i="11" s="1"/>
  <c r="F108" i="11"/>
  <c r="F110" i="11" s="1"/>
  <c r="E108" i="11"/>
  <c r="E110" i="11" s="1"/>
  <c r="G90" i="11" l="1"/>
  <c r="G93" i="11" s="1"/>
  <c r="D93" i="11"/>
  <c r="D94" i="11" s="1"/>
  <c r="D95" i="11" s="1"/>
  <c r="D96" i="11" s="1"/>
  <c r="G94" i="11"/>
  <c r="G95" i="11" s="1"/>
  <c r="G96" i="11" s="1"/>
  <c r="F94" i="11"/>
  <c r="F95" i="11" s="1"/>
  <c r="F96" i="11" s="1"/>
  <c r="E95" i="11"/>
  <c r="E96" i="11" s="1"/>
  <c r="D100" i="11" l="1"/>
  <c r="D99" i="11"/>
  <c r="D101" i="11"/>
  <c r="G101" i="11"/>
  <c r="G99" i="11"/>
  <c r="G100" i="11"/>
  <c r="F99" i="11"/>
  <c r="F101" i="11"/>
  <c r="F100" i="11"/>
  <c r="E99" i="11"/>
  <c r="E101" i="11"/>
  <c r="E100" i="11"/>
  <c r="D102" i="11" l="1"/>
  <c r="D103" i="11" s="1"/>
  <c r="D111" i="11" s="1"/>
  <c r="D112" i="11" s="1"/>
  <c r="G102" i="11"/>
  <c r="G103" i="11" s="1"/>
  <c r="G111" i="11" s="1"/>
  <c r="G112" i="11" s="1"/>
  <c r="C24" i="87" s="1"/>
  <c r="F102" i="11"/>
  <c r="F103" i="11" s="1"/>
  <c r="F111" i="11" s="1"/>
  <c r="F112" i="11" s="1"/>
  <c r="C19" i="87" s="1"/>
  <c r="F19" i="87" s="1"/>
  <c r="G19" i="87" s="1"/>
  <c r="H19" i="87" s="1"/>
  <c r="E102" i="11"/>
  <c r="E103" i="11" s="1"/>
  <c r="E111" i="11" s="1"/>
  <c r="E112" i="11" s="1"/>
  <c r="C16" i="87" s="1"/>
  <c r="F16" i="87" s="1"/>
  <c r="G16" i="87" s="1"/>
  <c r="H16" i="87" s="1"/>
  <c r="C13" i="87"/>
  <c r="F13" i="87" s="1"/>
  <c r="G13" i="87" s="1"/>
  <c r="H13" i="87" s="1"/>
  <c r="F3" i="87"/>
  <c r="G3" i="87" s="1"/>
  <c r="H3" i="87" s="1"/>
  <c r="F4" i="87" l="1"/>
  <c r="G4" i="87" s="1"/>
  <c r="H4" i="87" s="1"/>
  <c r="F5" i="87"/>
  <c r="G5" i="87" s="1"/>
  <c r="H5" i="87" s="1"/>
  <c r="F6" i="87"/>
  <c r="F24" i="87"/>
  <c r="G24" i="87" s="1"/>
  <c r="H24" i="87" s="1"/>
  <c r="H30" i="87" s="1"/>
  <c r="G6" i="87" l="1"/>
  <c r="H6" i="87" s="1"/>
  <c r="H7" i="87" s="1"/>
</calcChain>
</file>

<file path=xl/sharedStrings.xml><?xml version="1.0" encoding="utf-8"?>
<sst xmlns="http://schemas.openxmlformats.org/spreadsheetml/2006/main" count="1859" uniqueCount="310">
  <si>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</si>
  <si>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</si>
  <si>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</si>
  <si>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</si>
  <si>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</si>
  <si>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</si>
  <si>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</si>
  <si>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</si>
  <si>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</si>
  <si>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</si>
  <si>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</si>
  <si>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</si>
  <si>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</si>
  <si>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</si>
  <si>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</si>
  <si>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</si>
  <si>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</si>
  <si>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</si>
  <si>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</si>
  <si>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</si>
  <si>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</si>
  <si>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</si>
  <si>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</si>
  <si>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</si>
  <si>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</si>
  <si>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</si>
  <si>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</si>
  <si>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</si>
  <si>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</si>
  <si>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</si>
  <si>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</si>
  <si>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</si>
  <si>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</si>
  <si>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</si>
  <si>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</si>
  <si>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</si>
  <si>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</si>
  <si>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</si>
  <si>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</si>
  <si>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</si>
  <si>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</si>
  <si>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</si>
  <si>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</si>
  <si>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</si>
  <si>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</si>
  <si>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</si>
  <si>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</si>
  <si>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</si>
  <si>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</si>
  <si>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</si>
  <si>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</si>
  <si>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</si>
  <si>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</si>
  <si>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</si>
  <si>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</si>
  <si>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</si>
  <si>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</si>
  <si>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</si>
  <si>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</si>
  <si>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</si>
  <si>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</si>
  <si>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</si>
  <si>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</si>
  <si>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</si>
  <si>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</si>
  <si>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</si>
  <si>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</si>
  <si>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</si>
  <si>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</si>
  <si>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</si>
  <si>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</si>
  <si>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</si>
  <si>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</si>
  <si>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</si>
  <si>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</si>
  <si>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</si>
  <si>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</si>
  <si>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</si>
  <si>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</si>
  <si>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</si>
  <si>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</si>
  <si>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</si>
  <si>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</si>
  <si>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</si>
  <si>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</si>
  <si>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</si>
  <si>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</si>
  <si>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</si>
  <si>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</si>
  <si>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</si>
  <si>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</si>
  <si>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</si>
  <si>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</si>
  <si>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</si>
  <si>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</si>
  <si>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</si>
  <si>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</si>
  <si>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</si>
  <si>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</si>
  <si>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</si>
  <si>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</si>
  <si>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</si>
  <si>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</si>
  <si>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</si>
  <si>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</si>
  <si>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</si>
  <si>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</si>
  <si>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</si>
  <si>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</si>
  <si>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</si>
  <si>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</si>
  <si>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</si>
  <si>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</si>
  <si>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</si>
  <si>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</si>
  <si>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</si>
  <si>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</si>
  <si>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</si>
  <si>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</si>
  <si>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</si>
  <si>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</si>
  <si>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</si>
  <si>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</si>
  <si>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</si>
  <si>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</si>
  <si>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</si>
  <si>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</si>
  <si>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</si>
  <si>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</si>
  <si>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</si>
  <si>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</si>
  <si>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</si>
  <si>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</si>
  <si>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</si>
  <si>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</si>
  <si>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</si>
  <si>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</si>
  <si>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</si>
  <si>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</si>
  <si>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</si>
  <si>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</si>
  <si>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</si>
  <si>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</si>
  <si>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</si>
  <si>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</si>
  <si>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</si>
  <si>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</si>
  <si>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</si>
  <si>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</si>
  <si>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</si>
  <si>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</si>
  <si>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</si>
  <si>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</si>
  <si>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</si>
  <si>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</si>
  <si>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</si>
  <si>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</si>
  <si>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</si>
  <si>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</si>
  <si>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</si>
  <si>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</si>
  <si>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</si>
  <si>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</si>
  <si>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</si>
  <si>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</si>
  <si>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</si>
  <si>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</si>
  <si>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</si>
  <si>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</si>
  <si>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</si>
  <si>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</si>
  <si>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</si>
  <si>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</si>
  <si>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</si>
  <si>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</si>
  <si>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</si>
  <si>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</si>
  <si>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</si>
  <si>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</si>
  <si>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</si>
  <si>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</si>
  <si>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</si>
  <si>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</si>
  <si>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</si>
  <si>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</si>
  <si>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</si>
  <si>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</si>
  <si>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</si>
  <si>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</si>
  <si>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</si>
  <si>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</si>
  <si>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</si>
  <si>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</si>
  <si>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</si>
  <si>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</si>
  <si>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</si>
  <si>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</si>
  <si>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</si>
  <si>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</si>
  <si>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</si>
  <si>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</si>
  <si>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</si>
  <si>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</si>
  <si>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</si>
  <si>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</si>
  <si>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</si>
  <si>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</si>
  <si>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</si>
  <si>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</si>
  <si>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</si>
  <si>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</si>
  <si>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</si>
  <si>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</si>
  <si>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</si>
  <si>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</si>
  <si>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</si>
  <si>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</si>
  <si>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</si>
  <si>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</si>
  <si>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Técnico de Enfermagem - Noturno</t>
  </si>
  <si>
    <t>Técnico de Enfermagem - Diurno</t>
  </si>
  <si>
    <t>Ambulância Tipo D</t>
  </si>
  <si>
    <t>Enfermeiro - Noturno</t>
  </si>
  <si>
    <t>Ambulancia de Suporte Avançado tipo "D"</t>
  </si>
  <si>
    <t>TOTAL MENSAL POR  FUNCIONÁRIO POC - AMBULANCIA TIPO "B"</t>
  </si>
  <si>
    <t>TOTAL MENSAL POR  FUNCIONÁRIO HRE - AMBULANCIA TIPO "B"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</si>
  <si>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</si>
  <si>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</si>
  <si>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</si>
  <si>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</si>
  <si>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"B"</t>
  </si>
  <si>
    <t>Ambulância Tipo "D"</t>
  </si>
  <si>
    <t>INFORMAÇÃO: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</si>
  <si>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</si>
  <si>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</si>
  <si>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</si>
  <si>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</si>
  <si>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VALOR TOTAL (R$) - LOTE III:</t>
  </si>
  <si>
    <t>Médico - Diurno</t>
  </si>
  <si>
    <t>Médico - Noturno</t>
  </si>
  <si>
    <t>ITEM</t>
  </si>
  <si>
    <t>DEFINIÇÃO/CLASSIFICAÇÃO DOS VEÍCULO/AMBULÂNCIA</t>
  </si>
  <si>
    <t>UNIDADE</t>
  </si>
  <si>
    <t>QUANTIDADE</t>
  </si>
  <si>
    <t xml:space="preserve">VALOR UNITÁRIO (R$) </t>
  </si>
  <si>
    <t>POC - TIPO "B"</t>
  </si>
  <si>
    <t>HRE - TIPO "B"</t>
  </si>
  <si>
    <t>HRE - TIPO "D"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</si>
  <si>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</si>
  <si>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</si>
  <si>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 xml:space="preserve">Médico - Diurno </t>
  </si>
  <si>
    <t xml:space="preserve">INFORMAÇÃO: </t>
  </si>
  <si>
    <t>Motorista - Diurno</t>
  </si>
  <si>
    <t>Motorista - Noturno</t>
  </si>
  <si>
    <t>LEI Nº 14.434/2022</t>
  </si>
  <si>
    <t>TOTAL MENSAL POR  FUNCIONÁRIO HRE - AMBULANCIA TIPO "D"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</si>
  <si>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</si>
  <si>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</si>
  <si>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</si>
  <si>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</si>
  <si>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</si>
  <si>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</si>
  <si>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</si>
  <si>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</si>
  <si>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CARGA
HORÁRIA</t>
  </si>
  <si>
    <t>VALOR TOTAL MENSAL (R$)</t>
  </si>
  <si>
    <t>VALOR TOTAL ANUAL (R$)</t>
  </si>
  <si>
    <t>24 horas/dia
(7 dias por
semana)</t>
  </si>
  <si>
    <t>12 horas/dia
Das 07h00min
às 19h00min
(5 dias por
semana
segunda-feira
à sexta-feira)</t>
  </si>
  <si>
    <t>SERVIÇO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</si>
  <si>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</si>
  <si>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Motorista/Socorrista - Diurno</t>
  </si>
  <si>
    <t xml:space="preserve">Motorista/Socorrista - Noturno </t>
  </si>
  <si>
    <t xml:space="preserve">Quantidade Mensal </t>
  </si>
  <si>
    <t>Quantidade Anual</t>
  </si>
  <si>
    <t>Valor m3</t>
  </si>
  <si>
    <t>OXIGÊNIO GASOSO</t>
  </si>
  <si>
    <t>m3</t>
  </si>
  <si>
    <t>AR COMPRIMIDO MEDICINAL</t>
  </si>
  <si>
    <t>RO000003/2025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</si>
  <si>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</si>
  <si>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</si>
  <si>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</si>
  <si>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</si>
  <si>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</si>
  <si>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</si>
  <si>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</si>
  <si>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</si>
  <si>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RO000003/2025 e LEI Nº 14.434/2022</t>
  </si>
  <si>
    <t>Subtotal (A+B+C+D+E)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</si>
  <si>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</si>
  <si>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</si>
  <si>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>Ambulância de Suporte Básico</t>
    </r>
    <r>
      <rPr>
        <b/>
        <sz val="11"/>
        <color rgb="FF000000"/>
        <rFont val="Calibri"/>
        <family val="2"/>
        <scheme val="minor"/>
      </rPr>
      <t xml:space="preserve"> TIPO "B"</t>
    </r>
    <r>
      <rPr>
        <sz val="11"/>
        <color rgb="FF000000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</t>
    </r>
    <r>
      <rPr>
        <b/>
        <sz val="11"/>
        <color rgb="FF000000"/>
        <rFont val="Calibri"/>
        <family val="2"/>
        <scheme val="minor"/>
      </rPr>
      <t xml:space="preserve"> (POLICLÍNICA OSWALDO CRUZ - POC)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</si>
  <si>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</si>
  <si>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EXTREMA - HRE)</t>
    </r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</si>
  <si>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</si>
  <si>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</si>
  <si>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</si>
  <si>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</si>
  <si>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</si>
  <si>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</si>
  <si>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</si>
  <si>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13.2.12.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</t>
    </r>
    <r>
      <rPr>
        <b/>
        <sz val="11"/>
        <color theme="1"/>
        <rFont val="Calibri"/>
        <family val="2"/>
        <scheme val="minor"/>
      </rPr>
      <t xml:space="preserve"> 02 calças, 02 Camisas, 01 crachá e 01 Par de calçados, </t>
    </r>
    <r>
      <rPr>
        <sz val="11"/>
        <color theme="1"/>
        <rFont val="Calibri"/>
        <family val="2"/>
        <scheme val="minor"/>
      </rPr>
      <t>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</si>
  <si>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</t>
    </r>
    <r>
      <rPr>
        <sz val="11"/>
        <color theme="1"/>
        <rFont val="Calibri"/>
        <family val="2"/>
        <scheme val="minor"/>
      </rPr>
      <t xml:space="preserve">.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</t>
    </r>
    <r>
      <rPr>
        <sz val="11"/>
        <color theme="1"/>
        <rFont val="Calibri"/>
        <family val="2"/>
        <scheme val="minor"/>
      </rPr>
      <t>.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</si>
  <si>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Incidência do submódulo 2.2 sobre aviso prévio trabalhado (36,80% sobre o valor do Aviso Prévio Trabalhado)</t>
  </si>
  <si>
    <r>
      <t xml:space="preserve">Ambulância de Suporte Básico </t>
    </r>
    <r>
      <rPr>
        <b/>
        <sz val="11"/>
        <rFont val="Calibri"/>
        <family val="2"/>
        <scheme val="minor"/>
      </rPr>
      <t>TIPO "B"</t>
    </r>
    <r>
      <rPr>
        <sz val="11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 </t>
    </r>
    <r>
      <rPr>
        <b/>
        <sz val="11"/>
        <rFont val="Calibri"/>
        <family val="2"/>
        <scheme val="minor"/>
      </rPr>
      <t>(SERVIÇO DE ATENDIMENTO MULTIDISCIPLINAR DOMICILIAR - SAMD)</t>
    </r>
  </si>
  <si>
    <t xml:space="preserve">12 horas/dia Das 07h00min às 19h00min (5 dias por semana segunda-feira à sexta-feira)
</t>
  </si>
  <si>
    <t>SAMD - TIPO "B"</t>
  </si>
  <si>
    <t>TOTAL MENSAL POR  FUNCIONÁRIO SAMD - AMBULANCIA TIPO "B"</t>
  </si>
  <si>
    <t>LOTE III -  SERVIÇO DE ATENDIMENTO MULTIDISCIPLINAR DOMICILIAR-SAMD, POLICLÍNICA OSWALDO CRUZ-POC E HOSPITAL REGIONAL DE EXTREMA-HRE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</si>
</sst>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483">
    <xf numFmtId="0" fontId="0" fillId="0" borderId="0" xfId="0"/>
    <xf numFmtId="0" fontId="6" fillId="2" borderId="9" xfId="0" applyFont="1" applyFill="1" applyBorder="1" applyAlignment="1">
      <alignment wrapText="1"/>
    </xf>
    <xf numFmtId="0" fontId="6" fillId="2" borderId="10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0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0" xfId="0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/>
    <xf numFmtId="0" fontId="9" fillId="2" borderId="11" xfId="0" applyFont="1" applyFill="1" applyBorder="1" applyAlignment="1">
      <alignment horizont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0" fontId="0" fillId="0" borderId="11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4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justify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1" xfId="0" applyFont="1" applyBorder="1" applyAlignment="1">
      <alignment horizontal="center" vertical="center"/>
    </xf>
    <xf numFmtId="165" fontId="23" fillId="7" borderId="12" xfId="0" applyNumberFormat="1" applyFont="1" applyFill="1" applyBorder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 shrinkToFit="1"/>
    </xf>
    <xf numFmtId="0" fontId="2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vertical="center"/>
    </xf>
    <xf numFmtId="165" fontId="22" fillId="0" borderId="1" xfId="7" applyNumberFormat="1" applyFont="1" applyBorder="1" applyAlignment="1">
      <alignment horizontal="center" vertical="center"/>
    </xf>
    <xf numFmtId="165" fontId="22" fillId="0" borderId="17" xfId="7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6" fillId="0" borderId="0" xfId="12" applyAlignment="1">
      <alignment horizontal="left" vertical="top"/>
    </xf>
    <xf numFmtId="0" fontId="22" fillId="0" borderId="2" xfId="0" applyFont="1" applyBorder="1" applyAlignment="1">
      <alignment horizontal="center" vertical="center"/>
    </xf>
    <xf numFmtId="1" fontId="24" fillId="0" borderId="2" xfId="0" applyNumberFormat="1" applyFont="1" applyBorder="1" applyAlignment="1">
      <alignment horizontal="center" vertical="center" shrinkToFit="1"/>
    </xf>
    <xf numFmtId="165" fontId="22" fillId="0" borderId="2" xfId="7" applyNumberFormat="1" applyFont="1" applyBorder="1" applyAlignment="1">
      <alignment horizontal="center" vertical="center"/>
    </xf>
    <xf numFmtId="165" fontId="22" fillId="0" borderId="21" xfId="7" applyNumberFormat="1" applyFont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23" fillId="5" borderId="27" xfId="0" applyFont="1" applyFill="1" applyBorder="1" applyAlignment="1">
      <alignment horizontal="center" vertical="center"/>
    </xf>
    <xf numFmtId="165" fontId="23" fillId="5" borderId="1" xfId="0" applyNumberFormat="1" applyFont="1" applyFill="1" applyBorder="1" applyAlignment="1">
      <alignment horizontal="center" vertical="center"/>
    </xf>
    <xf numFmtId="165" fontId="23" fillId="5" borderId="17" xfId="0" applyNumberFormat="1" applyFont="1" applyFill="1" applyBorder="1" applyAlignment="1">
      <alignment horizontal="center" vertical="center"/>
    </xf>
    <xf numFmtId="0" fontId="22" fillId="2" borderId="29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1" fontId="24" fillId="0" borderId="8" xfId="0" applyNumberFormat="1" applyFont="1" applyBorder="1" applyAlignment="1">
      <alignment horizontal="center" vertical="center" shrinkToFi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8" xfId="7" applyNumberFormat="1" applyFont="1" applyBorder="1" applyAlignment="1">
      <alignment horizontal="center" vertical="center"/>
    </xf>
    <xf numFmtId="165" fontId="22" fillId="0" borderId="22" xfId="7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165" fontId="22" fillId="2" borderId="1" xfId="7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/>
    </xf>
    <xf numFmtId="0" fontId="23" fillId="5" borderId="17" xfId="0" applyFont="1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/>
    </xf>
    <xf numFmtId="165" fontId="22" fillId="2" borderId="17" xfId="7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165" fontId="23" fillId="7" borderId="12" xfId="7" applyNumberFormat="1" applyFont="1" applyFill="1" applyBorder="1" applyAlignment="1">
      <alignment horizontal="center" vertical="center"/>
    </xf>
    <xf numFmtId="165" fontId="23" fillId="7" borderId="11" xfId="7" applyNumberFormat="1" applyFont="1" applyFill="1" applyBorder="1" applyAlignment="1">
      <alignment horizontal="center" vertical="center"/>
    </xf>
    <xf numFmtId="0" fontId="22" fillId="2" borderId="28" xfId="0" applyFont="1" applyFill="1" applyBorder="1" applyAlignment="1">
      <alignment horizontal="center" vertical="center" wrapText="1"/>
    </xf>
    <xf numFmtId="0" fontId="28" fillId="0" borderId="25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center" vertical="center"/>
    </xf>
    <xf numFmtId="1" fontId="24" fillId="0" borderId="25" xfId="0" applyNumberFormat="1" applyFont="1" applyBorder="1" applyAlignment="1">
      <alignment horizontal="center" vertical="center" shrinkToFit="1"/>
    </xf>
    <xf numFmtId="165" fontId="22" fillId="0" borderId="25" xfId="7" applyNumberFormat="1" applyFont="1" applyBorder="1" applyAlignment="1">
      <alignment horizontal="center" vertical="center"/>
    </xf>
    <xf numFmtId="165" fontId="22" fillId="0" borderId="27" xfId="7" applyNumberFormat="1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 shrinkToFi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23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/>
    </xf>
    <xf numFmtId="0" fontId="24" fillId="0" borderId="25" xfId="0" applyNumberFormat="1" applyFont="1" applyBorder="1" applyAlignment="1">
      <alignment horizontal="center" vertical="center" shrinkToFit="1"/>
    </xf>
    <xf numFmtId="165" fontId="2" fillId="7" borderId="11" xfId="7" applyNumberFormat="1" applyFont="1" applyFill="1" applyBorder="1" applyAlignment="1">
      <alignment horizontal="center"/>
    </xf>
    <xf numFmtId="0" fontId="0" fillId="0" borderId="2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1" fontId="24" fillId="2" borderId="8" xfId="0" applyNumberFormat="1" applyFont="1" applyFill="1" applyBorder="1" applyAlignment="1">
      <alignment horizontal="center" vertical="center" shrinkToFit="1"/>
    </xf>
    <xf numFmtId="165" fontId="22" fillId="2" borderId="8" xfId="7" applyNumberFormat="1" applyFont="1" applyFill="1" applyBorder="1" applyAlignment="1">
      <alignment horizontal="center" vertical="center"/>
    </xf>
    <xf numFmtId="165" fontId="22" fillId="2" borderId="22" xfId="7" applyNumberFormat="1" applyFont="1" applyFill="1" applyBorder="1" applyAlignment="1">
      <alignment horizontal="center" vertical="center"/>
    </xf>
    <xf numFmtId="1" fontId="24" fillId="0" borderId="18" xfId="12" applyNumberFormat="1" applyFont="1" applyBorder="1" applyAlignment="1">
      <alignment horizontal="center" vertical="center" shrinkToFit="1"/>
    </xf>
    <xf numFmtId="0" fontId="22" fillId="2" borderId="1" xfId="15" applyFont="1" applyFill="1" applyBorder="1" applyAlignment="1">
      <alignment horizontal="left" vertical="center" wrapText="1"/>
    </xf>
    <xf numFmtId="0" fontId="22" fillId="0" borderId="1" xfId="12" applyFont="1" applyBorder="1" applyAlignment="1">
      <alignment horizontal="center" vertical="center" wrapText="1"/>
    </xf>
    <xf numFmtId="1" fontId="24" fillId="0" borderId="1" xfId="12" applyNumberFormat="1" applyFont="1" applyBorder="1" applyAlignment="1">
      <alignment horizontal="center" vertical="center" shrinkToFit="1"/>
    </xf>
    <xf numFmtId="165" fontId="24" fillId="0" borderId="1" xfId="12" applyNumberFormat="1" applyFont="1" applyBorder="1" applyAlignment="1">
      <alignment horizontal="center" vertical="center" wrapText="1"/>
    </xf>
    <xf numFmtId="165" fontId="24" fillId="0" borderId="17" xfId="12" applyNumberFormat="1" applyFont="1" applyBorder="1" applyAlignment="1">
      <alignment horizontal="center" vertical="center" wrapText="1"/>
    </xf>
    <xf numFmtId="0" fontId="24" fillId="0" borderId="1" xfId="15" applyFont="1" applyBorder="1" applyAlignment="1">
      <alignment horizontal="left" vertical="center" wrapText="1"/>
    </xf>
    <xf numFmtId="1" fontId="24" fillId="0" borderId="29" xfId="12" applyNumberFormat="1" applyFont="1" applyBorder="1" applyAlignment="1">
      <alignment horizontal="center" vertical="center" shrinkToFit="1"/>
    </xf>
    <xf numFmtId="0" fontId="22" fillId="2" borderId="8" xfId="15" applyFont="1" applyFill="1" applyBorder="1" applyAlignment="1">
      <alignment horizontal="left" vertical="center" wrapText="1"/>
    </xf>
    <xf numFmtId="0" fontId="22" fillId="0" borderId="8" xfId="12" applyFont="1" applyBorder="1" applyAlignment="1">
      <alignment horizontal="center" vertical="center" wrapText="1"/>
    </xf>
    <xf numFmtId="1" fontId="24" fillId="0" borderId="8" xfId="12" applyNumberFormat="1" applyFont="1" applyBorder="1" applyAlignment="1">
      <alignment horizontal="center" vertical="center" shrinkToFit="1"/>
    </xf>
    <xf numFmtId="165" fontId="24" fillId="0" borderId="8" xfId="12" applyNumberFormat="1" applyFont="1" applyBorder="1" applyAlignment="1">
      <alignment horizontal="center" vertical="center" wrapText="1"/>
    </xf>
    <xf numFmtId="165" fontId="24" fillId="0" borderId="22" xfId="12" applyNumberFormat="1" applyFont="1" applyBorder="1" applyAlignment="1">
      <alignment horizontal="center" vertical="center" wrapText="1"/>
    </xf>
    <xf numFmtId="165" fontId="23" fillId="7" borderId="11" xfId="12" applyNumberFormat="1" applyFont="1" applyFill="1" applyBorder="1" applyAlignment="1">
      <alignment horizontal="center" vertical="center" wrapText="1"/>
    </xf>
    <xf numFmtId="0" fontId="24" fillId="2" borderId="36" xfId="12" applyFont="1" applyFill="1" applyBorder="1" applyAlignment="1">
      <alignment horizontal="center" vertical="center"/>
    </xf>
    <xf numFmtId="0" fontId="24" fillId="2" borderId="0" xfId="12" applyFont="1" applyFill="1" applyBorder="1" applyAlignment="1">
      <alignment horizontal="center" vertical="center"/>
    </xf>
    <xf numFmtId="0" fontId="24" fillId="2" borderId="37" xfId="12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/>
    </xf>
    <xf numFmtId="165" fontId="1" fillId="2" borderId="27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165" fontId="1" fillId="2" borderId="22" xfId="0" applyNumberFormat="1" applyFont="1" applyFill="1" applyBorder="1" applyAlignment="1">
      <alignment horizontal="center" vertical="center"/>
    </xf>
    <xf numFmtId="165" fontId="23" fillId="7" borderId="12" xfId="12" applyNumberFormat="1" applyFont="1" applyFill="1" applyBorder="1" applyAlignment="1">
      <alignment horizontal="center" vertical="center" wrapText="1"/>
    </xf>
    <xf numFmtId="0" fontId="30" fillId="5" borderId="41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30" fillId="5" borderId="42" xfId="0" applyFont="1" applyFill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3" fillId="8" borderId="1" xfId="5" applyFont="1" applyFill="1" applyBorder="1" applyAlignment="1">
      <alignment horizontal="center" vertical="center" wrapText="1"/>
    </xf>
    <xf numFmtId="0" fontId="23" fillId="8" borderId="17" xfId="5" applyFont="1" applyFill="1" applyBorder="1" applyAlignment="1">
      <alignment horizontal="center" vertical="center" wrapText="1"/>
    </xf>
    <xf numFmtId="165" fontId="23" fillId="2" borderId="1" xfId="5" applyNumberFormat="1" applyFont="1" applyFill="1" applyBorder="1" applyAlignment="1">
      <alignment horizontal="center" vertical="center" wrapText="1"/>
    </xf>
    <xf numFmtId="165" fontId="23" fillId="2" borderId="17" xfId="5" applyNumberFormat="1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/>
    </xf>
    <xf numFmtId="165" fontId="22" fillId="2" borderId="17" xfId="0" applyNumberFormat="1" applyFont="1" applyFill="1" applyBorder="1" applyAlignment="1">
      <alignment horizontal="center" vertical="center"/>
    </xf>
    <xf numFmtId="164" fontId="31" fillId="2" borderId="1" xfId="2" applyNumberFormat="1" applyFont="1" applyFill="1" applyBorder="1" applyAlignment="1">
      <alignment horizontal="center" vertical="center"/>
    </xf>
    <xf numFmtId="165" fontId="31" fillId="2" borderId="1" xfId="2" applyNumberFormat="1" applyFont="1" applyFill="1" applyBorder="1" applyAlignment="1">
      <alignment horizontal="center" vertical="center"/>
    </xf>
    <xf numFmtId="165" fontId="31" fillId="2" borderId="17" xfId="2" applyNumberFormat="1" applyFont="1" applyFill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2" fillId="2" borderId="1" xfId="2" applyNumberFormat="1" applyFont="1" applyFill="1" applyBorder="1" applyAlignment="1">
      <alignment horizontal="center" vertical="center"/>
    </xf>
    <xf numFmtId="165" fontId="22" fillId="2" borderId="17" xfId="2" applyNumberFormat="1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center" vertical="center"/>
    </xf>
    <xf numFmtId="165" fontId="23" fillId="2" borderId="17" xfId="2" applyNumberFormat="1" applyFont="1" applyFill="1" applyBorder="1" applyAlignment="1">
      <alignment horizontal="center" vertical="center"/>
    </xf>
    <xf numFmtId="165" fontId="23" fillId="6" borderId="1" xfId="5" applyNumberFormat="1" applyFont="1" applyFill="1" applyBorder="1" applyAlignment="1">
      <alignment horizontal="center" vertical="center" wrapText="1"/>
    </xf>
    <xf numFmtId="165" fontId="23" fillId="6" borderId="17" xfId="5" applyNumberFormat="1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vertical="center"/>
    </xf>
    <xf numFmtId="0" fontId="23" fillId="4" borderId="17" xfId="5" applyFont="1" applyFill="1" applyBorder="1" applyAlignment="1">
      <alignment vertical="center"/>
    </xf>
    <xf numFmtId="165" fontId="23" fillId="0" borderId="1" xfId="5" applyNumberFormat="1" applyFont="1" applyBorder="1" applyAlignment="1">
      <alignment horizontal="center" vertical="center" wrapText="1"/>
    </xf>
    <xf numFmtId="165" fontId="23" fillId="0" borderId="17" xfId="5" applyNumberFormat="1" applyFont="1" applyBorder="1" applyAlignment="1">
      <alignment horizontal="center" vertical="center" wrapText="1"/>
    </xf>
    <xf numFmtId="0" fontId="22" fillId="0" borderId="18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center" vertical="center" wrapText="1"/>
    </xf>
    <xf numFmtId="10" fontId="22" fillId="0" borderId="1" xfId="2" applyNumberFormat="1" applyFont="1" applyFill="1" applyBorder="1" applyAlignment="1">
      <alignment horizontal="center" vertical="center"/>
    </xf>
    <xf numFmtId="165" fontId="22" fillId="0" borderId="1" xfId="2" applyNumberFormat="1" applyFont="1" applyFill="1" applyBorder="1" applyAlignment="1">
      <alignment horizontal="center" vertical="center"/>
    </xf>
    <xf numFmtId="165" fontId="22" fillId="0" borderId="17" xfId="2" applyNumberFormat="1" applyFont="1" applyFill="1" applyBorder="1" applyAlignment="1">
      <alignment horizontal="center" vertical="center"/>
    </xf>
    <xf numFmtId="10" fontId="23" fillId="5" borderId="1" xfId="0" applyNumberFormat="1" applyFont="1" applyFill="1" applyBorder="1" applyAlignment="1">
      <alignment horizontal="center" vertical="center" wrapText="1"/>
    </xf>
    <xf numFmtId="165" fontId="23" fillId="5" borderId="1" xfId="0" applyNumberFormat="1" applyFont="1" applyFill="1" applyBorder="1" applyAlignment="1">
      <alignment horizontal="center" vertical="center" wrapText="1"/>
    </xf>
    <xf numFmtId="165" fontId="23" fillId="5" borderId="17" xfId="0" applyNumberFormat="1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center" vertical="center"/>
    </xf>
    <xf numFmtId="0" fontId="23" fillId="0" borderId="1" xfId="6" applyFont="1" applyFill="1" applyBorder="1" applyAlignment="1" applyProtection="1">
      <alignment horizontal="left" vertical="center"/>
    </xf>
    <xf numFmtId="0" fontId="23" fillId="0" borderId="1" xfId="0" applyFont="1" applyBorder="1" applyAlignment="1">
      <alignment horizontal="left" vertical="center"/>
    </xf>
    <xf numFmtId="10" fontId="23" fillId="5" borderId="1" xfId="2" applyNumberFormat="1" applyFont="1" applyFill="1" applyBorder="1" applyAlignment="1">
      <alignment horizontal="center" vertical="center"/>
    </xf>
    <xf numFmtId="165" fontId="23" fillId="5" borderId="1" xfId="2" applyNumberFormat="1" applyFont="1" applyFill="1" applyBorder="1" applyAlignment="1">
      <alignment horizontal="center" vertical="center"/>
    </xf>
    <xf numFmtId="165" fontId="23" fillId="5" borderId="17" xfId="2" applyNumberFormat="1" applyFont="1" applyFill="1" applyBorder="1" applyAlignment="1">
      <alignment horizontal="center" vertical="center"/>
    </xf>
    <xf numFmtId="0" fontId="2" fillId="4" borderId="18" xfId="5" applyFont="1" applyFill="1" applyBorder="1" applyAlignment="1">
      <alignment horizontal="center" vertical="center"/>
    </xf>
    <xf numFmtId="165" fontId="2" fillId="4" borderId="1" xfId="5" applyNumberFormat="1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22" fillId="2" borderId="18" xfId="5" applyFont="1" applyFill="1" applyBorder="1" applyAlignment="1">
      <alignment horizontal="center" vertical="center"/>
    </xf>
    <xf numFmtId="0" fontId="22" fillId="2" borderId="1" xfId="5" applyFont="1" applyFill="1" applyBorder="1" applyAlignment="1">
      <alignment horizontal="left" vertical="center"/>
    </xf>
    <xf numFmtId="2" fontId="22" fillId="2" borderId="1" xfId="5" applyNumberFormat="1" applyFont="1" applyFill="1" applyBorder="1" applyAlignment="1">
      <alignment horizontal="center" vertical="center"/>
    </xf>
    <xf numFmtId="165" fontId="22" fillId="2" borderId="1" xfId="0" quotePrefix="1" applyNumberFormat="1" applyFont="1" applyFill="1" applyBorder="1" applyAlignment="1">
      <alignment horizontal="center" vertical="center"/>
    </xf>
    <xf numFmtId="165" fontId="22" fillId="2" borderId="17" xfId="0" quotePrefix="1" applyNumberFormat="1" applyFont="1" applyFill="1" applyBorder="1" applyAlignment="1">
      <alignment horizontal="center" vertical="center"/>
    </xf>
    <xf numFmtId="0" fontId="22" fillId="2" borderId="18" xfId="5" applyFont="1" applyFill="1" applyBorder="1" applyAlignment="1">
      <alignment horizontal="center" vertical="center" wrapText="1"/>
    </xf>
    <xf numFmtId="164" fontId="23" fillId="0" borderId="1" xfId="2" applyNumberFormat="1" applyFont="1" applyFill="1" applyBorder="1" applyAlignment="1">
      <alignment horizontal="center" vertical="center"/>
    </xf>
    <xf numFmtId="165" fontId="22" fillId="0" borderId="1" xfId="0" quotePrefix="1" applyNumberFormat="1" applyFont="1" applyBorder="1" applyAlignment="1">
      <alignment horizontal="center" vertical="center"/>
    </xf>
    <xf numFmtId="165" fontId="22" fillId="0" borderId="17" xfId="0" quotePrefix="1" applyNumberFormat="1" applyFont="1" applyBorder="1" applyAlignment="1">
      <alignment horizontal="center" vertical="center"/>
    </xf>
    <xf numFmtId="165" fontId="23" fillId="5" borderId="1" xfId="5" applyNumberFormat="1" applyFont="1" applyFill="1" applyBorder="1" applyAlignment="1">
      <alignment horizontal="center" vertical="center" wrapText="1"/>
    </xf>
    <xf numFmtId="165" fontId="23" fillId="5" borderId="17" xfId="5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10" fontId="23" fillId="2" borderId="1" xfId="2" applyNumberFormat="1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/>
    </xf>
    <xf numFmtId="10" fontId="23" fillId="2" borderId="17" xfId="2" applyNumberFormat="1" applyFont="1" applyFill="1" applyBorder="1" applyAlignment="1">
      <alignment horizontal="center" vertical="center"/>
    </xf>
    <xf numFmtId="165" fontId="23" fillId="2" borderId="17" xfId="0" applyNumberFormat="1" applyFont="1" applyFill="1" applyBorder="1" applyAlignment="1">
      <alignment horizontal="center" vertical="center"/>
    </xf>
    <xf numFmtId="10" fontId="23" fillId="5" borderId="1" xfId="5" applyNumberFormat="1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vertical="center"/>
    </xf>
    <xf numFmtId="0" fontId="23" fillId="2" borderId="17" xfId="5" applyFont="1" applyFill="1" applyBorder="1" applyAlignment="1">
      <alignment vertical="center"/>
    </xf>
    <xf numFmtId="0" fontId="23" fillId="4" borderId="1" xfId="5" applyFont="1" applyFill="1" applyBorder="1" applyAlignment="1">
      <alignment vertical="center" wrapText="1"/>
    </xf>
    <xf numFmtId="0" fontId="23" fillId="4" borderId="17" xfId="5" applyFont="1" applyFill="1" applyBorder="1" applyAlignment="1">
      <alignment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2" fillId="0" borderId="17" xfId="0" applyNumberFormat="1" applyFont="1" applyBorder="1" applyAlignment="1">
      <alignment horizontal="center" vertical="center"/>
    </xf>
    <xf numFmtId="165" fontId="23" fillId="6" borderId="1" xfId="0" applyNumberFormat="1" applyFont="1" applyFill="1" applyBorder="1" applyAlignment="1">
      <alignment horizontal="center" vertical="center"/>
    </xf>
    <xf numFmtId="165" fontId="23" fillId="6" borderId="17" xfId="0" applyNumberFormat="1" applyFont="1" applyFill="1" applyBorder="1" applyAlignment="1">
      <alignment horizontal="center" vertical="center"/>
    </xf>
    <xf numFmtId="165" fontId="23" fillId="4" borderId="1" xfId="5" applyNumberFormat="1" applyFont="1" applyFill="1" applyBorder="1" applyAlignment="1">
      <alignment horizontal="center" vertical="center" wrapText="1"/>
    </xf>
    <xf numFmtId="165" fontId="23" fillId="4" borderId="17" xfId="5" applyNumberFormat="1" applyFont="1" applyFill="1" applyBorder="1" applyAlignment="1">
      <alignment horizontal="center" vertical="center" wrapText="1"/>
    </xf>
    <xf numFmtId="10" fontId="22" fillId="2" borderId="1" xfId="2" applyNumberFormat="1" applyFont="1" applyFill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 vertical="center"/>
    </xf>
    <xf numFmtId="165" fontId="22" fillId="0" borderId="1" xfId="5" applyNumberFormat="1" applyFont="1" applyBorder="1" applyAlignment="1">
      <alignment horizontal="center" vertical="center" wrapText="1"/>
    </xf>
    <xf numFmtId="165" fontId="22" fillId="0" borderId="17" xfId="5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10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23" fillId="0" borderId="17" xfId="0" applyNumberFormat="1" applyFont="1" applyBorder="1" applyAlignment="1">
      <alignment horizontal="center" vertical="center"/>
    </xf>
    <xf numFmtId="165" fontId="23" fillId="3" borderId="1" xfId="5" applyNumberFormat="1" applyFont="1" applyFill="1" applyBorder="1" applyAlignment="1">
      <alignment horizontal="center" vertical="center" wrapText="1"/>
    </xf>
    <xf numFmtId="165" fontId="23" fillId="3" borderId="17" xfId="5" applyNumberFormat="1" applyFont="1" applyFill="1" applyBorder="1" applyAlignment="1">
      <alignment horizontal="center" vertical="center" wrapText="1"/>
    </xf>
    <xf numFmtId="165" fontId="23" fillId="5" borderId="8" xfId="5" applyNumberFormat="1" applyFont="1" applyFill="1" applyBorder="1" applyAlignment="1">
      <alignment horizontal="center" vertical="center" wrapText="1"/>
    </xf>
    <xf numFmtId="165" fontId="23" fillId="5" borderId="22" xfId="5" applyNumberFormat="1" applyFont="1" applyFill="1" applyBorder="1" applyAlignment="1">
      <alignment horizontal="center" vertical="center" wrapText="1"/>
    </xf>
    <xf numFmtId="0" fontId="23" fillId="8" borderId="1" xfId="5" applyFont="1" applyFill="1" applyBorder="1" applyAlignment="1">
      <alignment vertical="center"/>
    </xf>
    <xf numFmtId="0" fontId="23" fillId="8" borderId="17" xfId="5" applyFont="1" applyFill="1" applyBorder="1" applyAlignment="1">
      <alignment vertical="center"/>
    </xf>
    <xf numFmtId="165" fontId="2" fillId="4" borderId="17" xfId="5" applyNumberFormat="1" applyFont="1" applyFill="1" applyBorder="1" applyAlignment="1">
      <alignment horizontal="center" vertical="center" wrapText="1"/>
    </xf>
    <xf numFmtId="165" fontId="22" fillId="2" borderId="1" xfId="5" applyNumberFormat="1" applyFont="1" applyFill="1" applyBorder="1" applyAlignment="1">
      <alignment horizontal="center" vertical="center"/>
    </xf>
    <xf numFmtId="165" fontId="22" fillId="2" borderId="17" xfId="5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vertical="center"/>
    </xf>
    <xf numFmtId="165" fontId="23" fillId="4" borderId="1" xfId="0" applyNumberFormat="1" applyFont="1" applyFill="1" applyBorder="1" applyAlignment="1">
      <alignment horizontal="center" vertical="center"/>
    </xf>
    <xf numFmtId="165" fontId="23" fillId="4" borderId="17" xfId="0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/>
    </xf>
    <xf numFmtId="165" fontId="22" fillId="0" borderId="17" xfId="1" applyNumberFormat="1" applyFont="1" applyFill="1" applyBorder="1" applyAlignment="1">
      <alignment horizontal="center" vertical="center"/>
    </xf>
    <xf numFmtId="165" fontId="23" fillId="9" borderId="1" xfId="5" applyNumberFormat="1" applyFont="1" applyFill="1" applyBorder="1" applyAlignment="1">
      <alignment horizontal="center" vertical="center" wrapText="1"/>
    </xf>
    <xf numFmtId="165" fontId="23" fillId="9" borderId="17" xfId="5" applyNumberFormat="1" applyFont="1" applyFill="1" applyBorder="1" applyAlignment="1">
      <alignment horizontal="center" vertical="center" wrapText="1"/>
    </xf>
    <xf numFmtId="165" fontId="23" fillId="5" borderId="8" xfId="0" applyNumberFormat="1" applyFont="1" applyFill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right" vertical="center" wrapText="1"/>
    </xf>
    <xf numFmtId="0" fontId="22" fillId="2" borderId="1" xfId="4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/>
    </xf>
    <xf numFmtId="0" fontId="22" fillId="2" borderId="1" xfId="0" applyFont="1" applyFill="1" applyBorder="1" applyAlignment="1">
      <alignment vertical="center"/>
    </xf>
    <xf numFmtId="164" fontId="31" fillId="2" borderId="1" xfId="2" applyNumberFormat="1" applyFont="1" applyFill="1" applyBorder="1" applyAlignment="1">
      <alignment horizontal="justify" vertical="center"/>
    </xf>
    <xf numFmtId="164" fontId="23" fillId="2" borderId="1" xfId="2" applyNumberFormat="1" applyFont="1" applyFill="1" applyBorder="1" applyAlignment="1">
      <alignment horizontal="justify" vertical="center"/>
    </xf>
    <xf numFmtId="0" fontId="22" fillId="2" borderId="1" xfId="5" applyFont="1" applyFill="1" applyBorder="1" applyAlignment="1">
      <alignment vertical="center" wrapText="1"/>
    </xf>
    <xf numFmtId="0" fontId="22" fillId="4" borderId="17" xfId="0" applyFont="1" applyFill="1" applyBorder="1" applyAlignment="1">
      <alignment horizontal="left" vertical="center" wrapText="1"/>
    </xf>
    <xf numFmtId="0" fontId="2" fillId="4" borderId="18" xfId="5" applyFont="1" applyFill="1" applyBorder="1" applyAlignment="1">
      <alignment horizontal="center"/>
    </xf>
    <xf numFmtId="0" fontId="0" fillId="4" borderId="17" xfId="0" applyFont="1" applyFill="1" applyBorder="1" applyAlignment="1">
      <alignment horizontal="left" vertical="center" wrapText="1"/>
    </xf>
    <xf numFmtId="0" fontId="22" fillId="2" borderId="1" xfId="5" applyFont="1" applyFill="1" applyBorder="1" applyAlignment="1">
      <alignment vertical="center"/>
    </xf>
    <xf numFmtId="0" fontId="22" fillId="0" borderId="1" xfId="0" applyFont="1" applyBorder="1" applyAlignment="1">
      <alignment vertical="center"/>
    </xf>
    <xf numFmtId="10" fontId="22" fillId="0" borderId="1" xfId="5" applyNumberFormat="1" applyFont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left" vertical="center" wrapText="1"/>
    </xf>
    <xf numFmtId="0" fontId="23" fillId="4" borderId="17" xfId="0" applyFont="1" applyFill="1" applyBorder="1" applyAlignment="1">
      <alignment horizontal="center" vertical="center"/>
    </xf>
    <xf numFmtId="4" fontId="23" fillId="2" borderId="17" xfId="0" applyNumberFormat="1" applyFont="1" applyFill="1" applyBorder="1" applyAlignment="1">
      <alignment horizontal="center" vertical="center"/>
    </xf>
    <xf numFmtId="4" fontId="22" fillId="2" borderId="17" xfId="0" applyNumberFormat="1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10" fontId="23" fillId="2" borderId="1" xfId="2" applyNumberFormat="1" applyFont="1" applyFill="1" applyBorder="1" applyAlignment="1">
      <alignment vertical="center"/>
    </xf>
    <xf numFmtId="0" fontId="22" fillId="0" borderId="25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3" fillId="2" borderId="18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3" fillId="4" borderId="18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0" borderId="18" xfId="5" applyFont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" fillId="4" borderId="1" xfId="5" applyFont="1" applyFill="1" applyBorder="1" applyAlignment="1">
      <alignment horizontal="center" vertical="center" wrapText="1"/>
    </xf>
    <xf numFmtId="4" fontId="23" fillId="2" borderId="17" xfId="5" applyNumberFormat="1" applyFont="1" applyFill="1" applyBorder="1" applyAlignment="1">
      <alignment horizontal="center" vertical="center" wrapText="1"/>
    </xf>
    <xf numFmtId="0" fontId="23" fillId="4" borderId="17" xfId="5" applyFont="1" applyFill="1" applyBorder="1" applyAlignment="1">
      <alignment horizontal="center" vertical="center"/>
    </xf>
    <xf numFmtId="0" fontId="22" fillId="0" borderId="1" xfId="5" applyFont="1" applyBorder="1" applyAlignment="1">
      <alignment vertical="center" wrapText="1"/>
    </xf>
    <xf numFmtId="4" fontId="23" fillId="2" borderId="17" xfId="5" applyNumberFormat="1" applyFont="1" applyFill="1" applyBorder="1" applyAlignment="1">
      <alignment horizontal="center" vertical="center" wrapText="1"/>
    </xf>
    <xf numFmtId="10" fontId="23" fillId="6" borderId="1" xfId="5" applyNumberFormat="1" applyFont="1" applyFill="1" applyBorder="1" applyAlignment="1">
      <alignment horizontal="center" vertical="center" wrapText="1"/>
    </xf>
    <xf numFmtId="4" fontId="23" fillId="2" borderId="30" xfId="5" applyNumberFormat="1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4" borderId="18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23" fillId="5" borderId="18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0" borderId="18" xfId="5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3" fillId="2" borderId="18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22" fillId="0" borderId="1" xfId="5" applyFont="1" applyBorder="1" applyAlignment="1">
      <alignment vertical="center" wrapText="1"/>
    </xf>
    <xf numFmtId="165" fontId="22" fillId="10" borderId="1" xfId="0" applyNumberFormat="1" applyFont="1" applyFill="1" applyBorder="1" applyAlignment="1">
      <alignment horizontal="center" vertical="center"/>
    </xf>
    <xf numFmtId="165" fontId="22" fillId="10" borderId="17" xfId="0" applyNumberFormat="1" applyFont="1" applyFill="1" applyBorder="1" applyAlignment="1">
      <alignment horizontal="center" vertical="center"/>
    </xf>
    <xf numFmtId="0" fontId="22" fillId="0" borderId="1" xfId="5" applyFont="1" applyBorder="1" applyAlignment="1">
      <alignment horizontal="left" vertical="center" wrapText="1"/>
    </xf>
    <xf numFmtId="0" fontId="23" fillId="0" borderId="18" xfId="5" applyFont="1" applyBorder="1" applyAlignment="1">
      <alignment horizontal="center" vertical="center" wrapText="1"/>
    </xf>
    <xf numFmtId="0" fontId="22" fillId="0" borderId="1" xfId="5" applyFont="1" applyBorder="1" applyAlignment="1">
      <alignment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2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3" fillId="5" borderId="6" xfId="12" applyFont="1" applyFill="1" applyBorder="1" applyAlignment="1">
      <alignment horizontal="center" vertical="center" wrapText="1"/>
    </xf>
    <xf numFmtId="0" fontId="23" fillId="5" borderId="4" xfId="12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3" fillId="7" borderId="3" xfId="12" applyFont="1" applyFill="1" applyBorder="1" applyAlignment="1">
      <alignment horizontal="center" vertical="center"/>
    </xf>
    <xf numFmtId="0" fontId="23" fillId="7" borderId="23" xfId="12" applyFont="1" applyFill="1" applyBorder="1" applyAlignment="1">
      <alignment horizontal="center" vertical="center"/>
    </xf>
    <xf numFmtId="0" fontId="23" fillId="7" borderId="5" xfId="12" applyFont="1" applyFill="1" applyBorder="1" applyAlignment="1">
      <alignment horizontal="center" vertical="center"/>
    </xf>
    <xf numFmtId="0" fontId="23" fillId="5" borderId="14" xfId="12" applyFont="1" applyFill="1" applyBorder="1" applyAlignment="1">
      <alignment horizontal="center" vertical="center" wrapText="1"/>
    </xf>
    <xf numFmtId="0" fontId="23" fillId="5" borderId="32" xfId="12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3" fillId="0" borderId="1" xfId="5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4" borderId="18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6" borderId="18" xfId="5" applyFont="1" applyFill="1" applyBorder="1" applyAlignment="1">
      <alignment horizontal="center" vertical="center" wrapText="1"/>
    </xf>
    <xf numFmtId="0" fontId="23" fillId="6" borderId="1" xfId="5" applyFont="1" applyFill="1" applyBorder="1" applyAlignment="1">
      <alignment horizontal="center" vertical="center" wrapText="1"/>
    </xf>
    <xf numFmtId="0" fontId="23" fillId="4" borderId="18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23" fillId="8" borderId="18" xfId="5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horizontal="center" vertical="center"/>
    </xf>
    <xf numFmtId="0" fontId="23" fillId="2" borderId="18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7" xfId="3" applyFont="1" applyFill="1" applyBorder="1" applyAlignment="1">
      <alignment horizontal="center" vertical="center"/>
    </xf>
    <xf numFmtId="0" fontId="23" fillId="4" borderId="18" xfId="3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0" fontId="23" fillId="4" borderId="17" xfId="3" applyFont="1" applyFill="1" applyBorder="1" applyAlignment="1">
      <alignment horizontal="center" vertical="center" wrapText="1"/>
    </xf>
    <xf numFmtId="0" fontId="23" fillId="5" borderId="29" xfId="5" applyFont="1" applyFill="1" applyBorder="1" applyAlignment="1">
      <alignment horizontal="center" vertical="center" wrapText="1"/>
    </xf>
    <xf numFmtId="0" fontId="23" fillId="5" borderId="8" xfId="5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4" borderId="1" xfId="5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 wrapText="1"/>
    </xf>
    <xf numFmtId="0" fontId="33" fillId="2" borderId="18" xfId="5" applyFont="1" applyFill="1" applyBorder="1" applyAlignment="1">
      <alignment horizontal="center" vertical="center" wrapText="1"/>
    </xf>
    <xf numFmtId="0" fontId="33" fillId="2" borderId="1" xfId="5" applyFont="1" applyFill="1" applyBorder="1" applyAlignment="1">
      <alignment horizontal="center" vertical="center" wrapText="1"/>
    </xf>
    <xf numFmtId="0" fontId="33" fillId="2" borderId="17" xfId="5" applyFont="1" applyFill="1" applyBorder="1" applyAlignment="1">
      <alignment horizontal="center" vertical="center" wrapText="1"/>
    </xf>
    <xf numFmtId="0" fontId="23" fillId="5" borderId="18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left" vertical="center" wrapText="1"/>
    </xf>
    <xf numFmtId="0" fontId="23" fillId="0" borderId="1" xfId="5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3" borderId="18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0" borderId="18" xfId="5" applyFont="1" applyBorder="1" applyAlignment="1">
      <alignment horizontal="center" vertical="center" wrapText="1"/>
    </xf>
    <xf numFmtId="0" fontId="2" fillId="4" borderId="1" xfId="5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3" fillId="0" borderId="1" xfId="5" applyFont="1" applyBorder="1" applyAlignment="1">
      <alignment horizontal="left" vertical="center"/>
    </xf>
    <xf numFmtId="0" fontId="23" fillId="2" borderId="18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25" xfId="0" applyFont="1" applyFill="1" applyBorder="1" applyAlignment="1">
      <alignment horizontal="center" vertical="center"/>
    </xf>
    <xf numFmtId="0" fontId="23" fillId="6" borderId="27" xfId="0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17" xfId="4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17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2" fillId="2" borderId="17" xfId="3" applyFont="1" applyFill="1" applyBorder="1" applyAlignment="1">
      <alignment horizontal="center" vertical="center" wrapText="1"/>
    </xf>
    <xf numFmtId="0" fontId="23" fillId="2" borderId="18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3" fillId="2" borderId="17" xfId="5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17" xfId="5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" fillId="4" borderId="1" xfId="5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9" borderId="18" xfId="5" applyFont="1" applyFill="1" applyBorder="1" applyAlignment="1">
      <alignment horizontal="center" vertical="center" wrapText="1"/>
    </xf>
    <xf numFmtId="0" fontId="23" fillId="9" borderId="1" xfId="5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/>
    </xf>
    <xf numFmtId="0" fontId="23" fillId="8" borderId="17" xfId="5" applyFont="1" applyFill="1" applyBorder="1" applyAlignment="1">
      <alignment horizontal="center" vertical="center"/>
    </xf>
    <xf numFmtId="0" fontId="23" fillId="4" borderId="17" xfId="5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2" borderId="17" xfId="5" applyFont="1" applyFill="1" applyBorder="1" applyAlignment="1">
      <alignment horizontal="center" vertical="center"/>
    </xf>
    <xf numFmtId="0" fontId="23" fillId="4" borderId="17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0" fontId="2" fillId="7" borderId="16" xfId="0" applyFont="1" applyFill="1" applyBorder="1" applyAlignment="1">
      <alignment horizontal="center"/>
    </xf>
    <xf numFmtId="0" fontId="2" fillId="7" borderId="31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6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0" fontId="23" fillId="7" borderId="3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/>
    </xf>
    <xf numFmtId="0" fontId="23" fillId="7" borderId="23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top" wrapText="1"/>
    </xf>
    <xf numFmtId="0" fontId="23" fillId="7" borderId="31" xfId="0" applyFont="1" applyFill="1" applyBorder="1" applyAlignment="1">
      <alignment horizontal="center" vertical="top" wrapText="1"/>
    </xf>
    <xf numFmtId="0" fontId="23" fillId="7" borderId="15" xfId="0" applyFont="1" applyFill="1" applyBorder="1" applyAlignment="1">
      <alignment horizontal="center" vertical="top" wrapText="1"/>
    </xf>
    <xf numFmtId="0" fontId="23" fillId="7" borderId="33" xfId="0" applyFont="1" applyFill="1" applyBorder="1" applyAlignment="1">
      <alignment horizontal="center" vertical="center" wrapText="1"/>
    </xf>
    <xf numFmtId="0" fontId="23" fillId="7" borderId="34" xfId="0" applyFont="1" applyFill="1" applyBorder="1" applyAlignment="1">
      <alignment horizontal="center" vertical="center" wrapText="1"/>
    </xf>
    <xf numFmtId="0" fontId="23" fillId="7" borderId="3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</cellXfs>
  <cellStyles count="16">
    <cellStyle name="Estilo 1" xfId="8" xr:uid="{00000000-0005-0000-0000-000000000000}"/>
    <cellStyle name="Hiperlink" xfId="6" builtinId="8"/>
    <cellStyle name="Moeda" xfId="1" builtinId="4"/>
    <cellStyle name="Moeda 2" xfId="11" xr:uid="{00000000-0005-0000-0000-000003000000}"/>
    <cellStyle name="Moeda 2 2" xfId="14" xr:uid="{00000000-0005-0000-0000-000004000000}"/>
    <cellStyle name="Normal" xfId="0" builtinId="0"/>
    <cellStyle name="Normal 2" xfId="5" xr:uid="{00000000-0005-0000-0000-000006000000}"/>
    <cellStyle name="Normal 3" xfId="9" xr:uid="{00000000-0005-0000-0000-000007000000}"/>
    <cellStyle name="Normal 4" xfId="3" xr:uid="{00000000-0005-0000-0000-000008000000}"/>
    <cellStyle name="Normal 5" xfId="4" xr:uid="{00000000-0005-0000-0000-000009000000}"/>
    <cellStyle name="Normal 6" xfId="15" xr:uid="{00000000-0005-0000-0000-00000A000000}"/>
    <cellStyle name="Normal 7" xfId="12" xr:uid="{00000000-0005-0000-0000-00000B000000}"/>
    <cellStyle name="Porcentagem" xfId="2" builtinId="5"/>
    <cellStyle name="Vírgula" xfId="7" builtinId="3"/>
    <cellStyle name="Vírgula 2" xfId="10" xr:uid="{00000000-0005-0000-0000-00000E000000}"/>
    <cellStyle name="Vírgula 2 2" xfId="13" xr:uid="{00000000-0005-0000-0000-00000F000000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 totalsRowShown="0" headerRowDxfId="5" headerRowBorderDxfId="4" tableBorderDxfId="3" totalsRowBorderDxfId="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305" t="s">
        <v>51</v>
      </c>
      <c r="B2" s="305"/>
      <c r="C2" s="305"/>
      <c r="E2" s="2" t="s">
        <v>52</v>
      </c>
    </row>
    <row r="3" spans="1:5" ht="174" customHeight="1" x14ac:dyDescent="0.3">
      <c r="A3" s="304" t="s">
        <v>53</v>
      </c>
      <c r="B3" s="304"/>
      <c r="C3" s="304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06" t="s">
        <v>55</v>
      </c>
      <c r="B5" s="307"/>
      <c r="C5" s="308"/>
      <c r="E5" s="7" t="s">
        <v>56</v>
      </c>
    </row>
    <row r="6" spans="1:5" ht="22.5" x14ac:dyDescent="0.25">
      <c r="A6" s="309" t="s">
        <v>57</v>
      </c>
      <c r="B6" s="309" t="s">
        <v>58</v>
      </c>
      <c r="C6" s="8" t="s">
        <v>59</v>
      </c>
      <c r="E6" s="7" t="s">
        <v>60</v>
      </c>
    </row>
    <row r="7" spans="1:5" ht="15.75" customHeight="1" thickBot="1" x14ac:dyDescent="0.3">
      <c r="A7" s="310"/>
      <c r="B7" s="310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311" t="s">
        <v>86</v>
      </c>
      <c r="B30" s="311"/>
      <c r="C30" s="311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304" t="s">
        <v>88</v>
      </c>
      <c r="B34" s="304"/>
      <c r="C34" s="304"/>
    </row>
    <row r="35" spans="1:3" x14ac:dyDescent="0.25">
      <c r="A35" s="304"/>
      <c r="B35" s="304"/>
      <c r="C35" s="304"/>
    </row>
    <row r="36" spans="1:3" x14ac:dyDescent="0.25">
      <c r="A36" s="304" t="s">
        <v>89</v>
      </c>
      <c r="B36" s="304"/>
      <c r="C36" s="304"/>
    </row>
    <row r="37" spans="1:3" x14ac:dyDescent="0.25">
      <c r="A37" s="304"/>
      <c r="B37" s="304"/>
      <c r="C37" s="304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 xr:uid="{00000000-0004-0000-0000-00000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D124"/>
  <sheetViews>
    <sheetView view="pageBreakPreview" topLeftCell="A96" zoomScaleNormal="115" zoomScaleSheetLayoutView="100" workbookViewId="0">
      <selection activeCell="D112" sqref="D112"/>
    </sheetView>
  </sheetViews>
  <sheetFormatPr defaultColWidth="9.140625" defaultRowHeight="15.75" x14ac:dyDescent="0.25"/>
  <cols>
    <col min="1" max="1" width="8.7109375" style="68" customWidth="1"/>
    <col min="2" max="2" width="72.5703125" style="31" customWidth="1"/>
    <col min="3" max="3" width="15.7109375" style="32" customWidth="1"/>
    <col min="4" max="4" width="15.7109375" style="28" customWidth="1"/>
    <col min="5" max="5" width="9.140625" style="28" customWidth="1"/>
    <col min="6" max="16384" width="9.140625" style="28"/>
  </cols>
  <sheetData>
    <row r="1" spans="1:4" x14ac:dyDescent="0.25">
      <c r="A1" s="377"/>
      <c r="B1" s="378"/>
      <c r="C1" s="378"/>
      <c r="D1" s="379"/>
    </row>
    <row r="2" spans="1:4" s="38" customFormat="1" ht="16.5" customHeight="1" x14ac:dyDescent="0.25">
      <c r="A2" s="350" t="s">
        <v>127</v>
      </c>
      <c r="B2" s="351"/>
      <c r="C2" s="351"/>
      <c r="D2" s="352"/>
    </row>
    <row r="3" spans="1:4" s="38" customFormat="1" x14ac:dyDescent="0.25">
      <c r="A3" s="347" t="s">
        <v>126</v>
      </c>
      <c r="B3" s="348"/>
      <c r="C3" s="348"/>
      <c r="D3" s="349"/>
    </row>
    <row r="4" spans="1:4" s="38" customFormat="1" ht="15" customHeight="1" x14ac:dyDescent="0.25">
      <c r="A4" s="76" t="s">
        <v>0</v>
      </c>
      <c r="B4" s="267" t="s">
        <v>1</v>
      </c>
      <c r="C4" s="385">
        <v>2025</v>
      </c>
      <c r="D4" s="386"/>
    </row>
    <row r="5" spans="1:4" s="38" customFormat="1" ht="90" customHeight="1" x14ac:dyDescent="0.25">
      <c r="A5" s="76" t="s">
        <v>2</v>
      </c>
      <c r="B5" s="267" t="s">
        <v>135</v>
      </c>
      <c r="C5" s="387" t="s">
        <v>248</v>
      </c>
      <c r="D5" s="388"/>
    </row>
    <row r="6" spans="1:4" s="38" customFormat="1" ht="15.75" customHeight="1" x14ac:dyDescent="0.25">
      <c r="A6" s="76" t="s">
        <v>3</v>
      </c>
      <c r="B6" s="267" t="s">
        <v>4</v>
      </c>
      <c r="C6" s="387"/>
      <c r="D6" s="388"/>
    </row>
    <row r="7" spans="1:4" s="38" customFormat="1" x14ac:dyDescent="0.25">
      <c r="A7" s="76" t="s">
        <v>5</v>
      </c>
      <c r="B7" s="267" t="s">
        <v>295</v>
      </c>
      <c r="C7" s="387">
        <v>12</v>
      </c>
      <c r="D7" s="388"/>
    </row>
    <row r="8" spans="1:4" s="38" customFormat="1" x14ac:dyDescent="0.25">
      <c r="A8" s="347" t="s">
        <v>6</v>
      </c>
      <c r="B8" s="348"/>
      <c r="C8" s="348"/>
      <c r="D8" s="349"/>
    </row>
    <row r="9" spans="1:4" s="38" customFormat="1" x14ac:dyDescent="0.25">
      <c r="A9" s="347" t="s">
        <v>7</v>
      </c>
      <c r="B9" s="348"/>
      <c r="C9" s="348"/>
      <c r="D9" s="349"/>
    </row>
    <row r="10" spans="1:4" s="38" customFormat="1" ht="15.75" customHeight="1" x14ac:dyDescent="0.25">
      <c r="A10" s="347" t="s">
        <v>8</v>
      </c>
      <c r="B10" s="348"/>
      <c r="C10" s="348"/>
      <c r="D10" s="349"/>
    </row>
    <row r="11" spans="1:4" s="38" customFormat="1" ht="30" customHeight="1" x14ac:dyDescent="0.25">
      <c r="A11" s="389" t="s">
        <v>9</v>
      </c>
      <c r="B11" s="390"/>
      <c r="C11" s="390"/>
      <c r="D11" s="279"/>
    </row>
    <row r="12" spans="1:4" s="38" customFormat="1" ht="75" customHeight="1" x14ac:dyDescent="0.25">
      <c r="A12" s="76">
        <v>1</v>
      </c>
      <c r="B12" s="255" t="s">
        <v>128</v>
      </c>
      <c r="C12" s="380" t="s">
        <v>249</v>
      </c>
      <c r="D12" s="381"/>
    </row>
    <row r="13" spans="1:4" s="38" customFormat="1" ht="30" customHeight="1" x14ac:dyDescent="0.25">
      <c r="A13" s="76">
        <v>2</v>
      </c>
      <c r="B13" s="255" t="s">
        <v>11</v>
      </c>
      <c r="C13" s="424">
        <f>(13581.68+(13581.68*10.18%)+(14964.25*8.9%)+(16296.07*6.97%)+(17431.95*7.5%))</f>
        <v>18739.349999999999</v>
      </c>
      <c r="D13" s="425"/>
    </row>
    <row r="14" spans="1:4" s="38" customFormat="1" ht="15.75" customHeight="1" x14ac:dyDescent="0.25">
      <c r="A14" s="76">
        <v>3</v>
      </c>
      <c r="B14" s="255" t="s">
        <v>12</v>
      </c>
      <c r="C14" s="380" t="s">
        <v>250</v>
      </c>
      <c r="D14" s="381"/>
    </row>
    <row r="15" spans="1:4" s="38" customFormat="1" x14ac:dyDescent="0.25">
      <c r="A15" s="76">
        <v>4</v>
      </c>
      <c r="B15" s="154" t="s">
        <v>13</v>
      </c>
      <c r="C15" s="383">
        <v>2025</v>
      </c>
      <c r="D15" s="384"/>
    </row>
    <row r="16" spans="1:4" s="39" customFormat="1" x14ac:dyDescent="0.25">
      <c r="A16" s="345" t="s">
        <v>14</v>
      </c>
      <c r="B16" s="346"/>
      <c r="C16" s="346"/>
      <c r="D16" s="150" t="s">
        <v>247</v>
      </c>
    </row>
    <row r="17" spans="1:4" s="39" customFormat="1" x14ac:dyDescent="0.25">
      <c r="A17" s="268">
        <v>1</v>
      </c>
      <c r="B17" s="390" t="s">
        <v>15</v>
      </c>
      <c r="C17" s="390"/>
      <c r="D17" s="152" t="s">
        <v>10</v>
      </c>
    </row>
    <row r="18" spans="1:4" s="38" customFormat="1" ht="15.75" customHeight="1" x14ac:dyDescent="0.25">
      <c r="A18" s="153" t="s">
        <v>0</v>
      </c>
      <c r="B18" s="154" t="s">
        <v>16</v>
      </c>
      <c r="C18" s="69"/>
      <c r="D18" s="155">
        <f>C13</f>
        <v>18739.349999999999</v>
      </c>
    </row>
    <row r="19" spans="1:4" s="38" customFormat="1" ht="15.75" customHeight="1" x14ac:dyDescent="0.25">
      <c r="A19" s="153" t="s">
        <v>2</v>
      </c>
      <c r="B19" s="154" t="s">
        <v>17</v>
      </c>
      <c r="C19" s="156"/>
      <c r="D19" s="193"/>
    </row>
    <row r="20" spans="1:4" s="38" customFormat="1" ht="15.75" customHeight="1" x14ac:dyDescent="0.25">
      <c r="A20" s="153" t="s">
        <v>3</v>
      </c>
      <c r="B20" s="154" t="s">
        <v>18</v>
      </c>
      <c r="C20" s="159">
        <v>1518</v>
      </c>
      <c r="D20" s="193">
        <f>40%*C20</f>
        <v>607.20000000000005</v>
      </c>
    </row>
    <row r="21" spans="1:4" s="38" customFormat="1" ht="15.75" customHeight="1" x14ac:dyDescent="0.25">
      <c r="A21" s="153" t="s">
        <v>5</v>
      </c>
      <c r="B21" s="154" t="s">
        <v>19</v>
      </c>
      <c r="C21" s="156"/>
      <c r="D21" s="193"/>
    </row>
    <row r="22" spans="1:4" s="38" customFormat="1" ht="15.75" customHeight="1" x14ac:dyDescent="0.25">
      <c r="A22" s="153" t="s">
        <v>20</v>
      </c>
      <c r="B22" s="154" t="s">
        <v>196</v>
      </c>
      <c r="C22" s="156"/>
      <c r="D22" s="193"/>
    </row>
    <row r="23" spans="1:4" s="38" customFormat="1" x14ac:dyDescent="0.25">
      <c r="A23" s="153" t="s">
        <v>21</v>
      </c>
      <c r="B23" s="154" t="s">
        <v>133</v>
      </c>
      <c r="C23" s="162"/>
      <c r="D23" s="193"/>
    </row>
    <row r="24" spans="1:4" s="38" customFormat="1" ht="15.75" customHeight="1" x14ac:dyDescent="0.25">
      <c r="A24" s="153" t="s">
        <v>22</v>
      </c>
      <c r="B24" s="274" t="s">
        <v>134</v>
      </c>
      <c r="C24" s="162"/>
      <c r="D24" s="193"/>
    </row>
    <row r="25" spans="1:4" s="39" customFormat="1" ht="15.75" customHeight="1" x14ac:dyDescent="0.25">
      <c r="A25" s="341" t="s">
        <v>145</v>
      </c>
      <c r="B25" s="342"/>
      <c r="C25" s="342"/>
      <c r="D25" s="213">
        <f>SUM(D18:D24)</f>
        <v>19346.55</v>
      </c>
    </row>
    <row r="26" spans="1:4" s="39" customFormat="1" x14ac:dyDescent="0.25">
      <c r="A26" s="343" t="s">
        <v>48</v>
      </c>
      <c r="B26" s="344"/>
      <c r="C26" s="344"/>
      <c r="D26" s="256"/>
    </row>
    <row r="27" spans="1:4" s="38" customFormat="1" x14ac:dyDescent="0.25">
      <c r="A27" s="273">
        <v>2</v>
      </c>
      <c r="B27" s="337" t="s">
        <v>197</v>
      </c>
      <c r="C27" s="355"/>
      <c r="D27" s="169" t="s">
        <v>10</v>
      </c>
    </row>
    <row r="28" spans="1:4" s="38" customFormat="1" x14ac:dyDescent="0.25">
      <c r="A28" s="170" t="s">
        <v>0</v>
      </c>
      <c r="B28" s="272" t="s">
        <v>28</v>
      </c>
      <c r="C28" s="172">
        <f>1/12</f>
        <v>8.3299999999999999E-2</v>
      </c>
      <c r="D28" s="211">
        <f>(D25)*C28</f>
        <v>1611.57</v>
      </c>
    </row>
    <row r="29" spans="1:4" s="38" customFormat="1" x14ac:dyDescent="0.25">
      <c r="A29" s="170" t="s">
        <v>2</v>
      </c>
      <c r="B29" s="272" t="s">
        <v>141</v>
      </c>
      <c r="C29" s="172">
        <v>0.1111</v>
      </c>
      <c r="D29" s="211">
        <f>(D25)*C29</f>
        <v>2149.4</v>
      </c>
    </row>
    <row r="30" spans="1:4" x14ac:dyDescent="0.25">
      <c r="A30" s="361" t="s">
        <v>27</v>
      </c>
      <c r="B30" s="362"/>
      <c r="C30" s="175">
        <f>SUM(C28:C29)</f>
        <v>0.19439999999999999</v>
      </c>
      <c r="D30" s="59">
        <f>SUM(D28:D29)</f>
        <v>3760.97</v>
      </c>
    </row>
    <row r="31" spans="1:4" ht="32.25" customHeight="1" x14ac:dyDescent="0.25">
      <c r="A31" s="358" t="s">
        <v>198</v>
      </c>
      <c r="B31" s="359"/>
      <c r="C31" s="359"/>
      <c r="D31" s="360"/>
    </row>
    <row r="32" spans="1:4" x14ac:dyDescent="0.25">
      <c r="A32" s="270" t="s">
        <v>201</v>
      </c>
      <c r="B32" s="356" t="s">
        <v>25</v>
      </c>
      <c r="C32" s="357"/>
      <c r="D32" s="215" t="s">
        <v>10</v>
      </c>
    </row>
    <row r="33" spans="1:4" x14ac:dyDescent="0.25">
      <c r="A33" s="170" t="s">
        <v>0</v>
      </c>
      <c r="B33" s="179" t="s">
        <v>296</v>
      </c>
      <c r="C33" s="172">
        <v>0.2</v>
      </c>
      <c r="D33" s="211">
        <f>(D25+D30)*C33</f>
        <v>4621.5</v>
      </c>
    </row>
    <row r="34" spans="1:4" x14ac:dyDescent="0.25">
      <c r="A34" s="170" t="s">
        <v>2</v>
      </c>
      <c r="B34" s="179" t="s">
        <v>297</v>
      </c>
      <c r="C34" s="180">
        <v>2.5000000000000001E-2</v>
      </c>
      <c r="D34" s="211">
        <f>(D25+D30)*C34</f>
        <v>577.69000000000005</v>
      </c>
    </row>
    <row r="35" spans="1:4" ht="45" x14ac:dyDescent="0.25">
      <c r="A35" s="170" t="s">
        <v>3</v>
      </c>
      <c r="B35" s="271" t="s">
        <v>298</v>
      </c>
      <c r="C35" s="180">
        <v>0.03</v>
      </c>
      <c r="D35" s="211">
        <f>(D25+D30)*C35</f>
        <v>693.23</v>
      </c>
    </row>
    <row r="36" spans="1:4" x14ac:dyDescent="0.25">
      <c r="A36" s="170" t="s">
        <v>5</v>
      </c>
      <c r="B36" s="179" t="s">
        <v>299</v>
      </c>
      <c r="C36" s="180">
        <v>1.4999999999999999E-2</v>
      </c>
      <c r="D36" s="211">
        <f>(D25+D30)*C36</f>
        <v>346.61</v>
      </c>
    </row>
    <row r="37" spans="1:4" x14ac:dyDescent="0.25">
      <c r="A37" s="170" t="s">
        <v>20</v>
      </c>
      <c r="B37" s="179" t="s">
        <v>300</v>
      </c>
      <c r="C37" s="180">
        <v>0.01</v>
      </c>
      <c r="D37" s="211">
        <f>(D25+D30)*C37</f>
        <v>231.08</v>
      </c>
    </row>
    <row r="38" spans="1:4" x14ac:dyDescent="0.25">
      <c r="A38" s="170" t="s">
        <v>21</v>
      </c>
      <c r="B38" s="181" t="s">
        <v>200</v>
      </c>
      <c r="C38" s="180">
        <v>6.0000000000000001E-3</v>
      </c>
      <c r="D38" s="211">
        <f>(D25+D30)*C38</f>
        <v>138.65</v>
      </c>
    </row>
    <row r="39" spans="1:4" ht="30.75" customHeight="1" x14ac:dyDescent="0.25">
      <c r="A39" s="170" t="s">
        <v>22</v>
      </c>
      <c r="B39" s="271" t="s">
        <v>301</v>
      </c>
      <c r="C39" s="180">
        <v>2E-3</v>
      </c>
      <c r="D39" s="211">
        <f>(D25+D30)*C39</f>
        <v>46.22</v>
      </c>
    </row>
    <row r="40" spans="1:4" x14ac:dyDescent="0.25">
      <c r="A40" s="170" t="s">
        <v>26</v>
      </c>
      <c r="B40" s="182" t="s">
        <v>199</v>
      </c>
      <c r="C40" s="180">
        <v>0.08</v>
      </c>
      <c r="D40" s="211">
        <f>(D25+D30)*C40</f>
        <v>1848.6</v>
      </c>
    </row>
    <row r="41" spans="1:4" s="30" customFormat="1" x14ac:dyDescent="0.25">
      <c r="A41" s="361" t="s">
        <v>27</v>
      </c>
      <c r="B41" s="362"/>
      <c r="C41" s="183">
        <f>SUM(C33:C40)</f>
        <v>0.36799999999999999</v>
      </c>
      <c r="D41" s="59">
        <f>SUM(D33:D40)</f>
        <v>8503.58</v>
      </c>
    </row>
    <row r="42" spans="1:4" s="30" customFormat="1" x14ac:dyDescent="0.25">
      <c r="A42" s="186" t="s">
        <v>202</v>
      </c>
      <c r="B42" s="371" t="s">
        <v>203</v>
      </c>
      <c r="C42" s="372"/>
      <c r="D42" s="230" t="s">
        <v>10</v>
      </c>
    </row>
    <row r="43" spans="1:4" s="30" customFormat="1" x14ac:dyDescent="0.25">
      <c r="A43" s="189" t="s">
        <v>0</v>
      </c>
      <c r="B43" s="190" t="s">
        <v>137</v>
      </c>
      <c r="C43" s="191"/>
      <c r="D43" s="193">
        <v>0</v>
      </c>
    </row>
    <row r="44" spans="1:4" s="30" customFormat="1" x14ac:dyDescent="0.25">
      <c r="A44" s="194" t="s">
        <v>2</v>
      </c>
      <c r="B44" s="274" t="s">
        <v>204</v>
      </c>
      <c r="C44" s="160"/>
      <c r="D44" s="193">
        <v>0</v>
      </c>
    </row>
    <row r="45" spans="1:4" s="30" customFormat="1" x14ac:dyDescent="0.25">
      <c r="A45" s="170" t="s">
        <v>5</v>
      </c>
      <c r="B45" s="272" t="s">
        <v>129</v>
      </c>
      <c r="C45" s="195"/>
      <c r="D45" s="193">
        <v>0</v>
      </c>
    </row>
    <row r="46" spans="1:4" s="30" customFormat="1" x14ac:dyDescent="0.25">
      <c r="A46" s="170" t="s">
        <v>20</v>
      </c>
      <c r="B46" s="272" t="s">
        <v>130</v>
      </c>
      <c r="C46" s="172"/>
      <c r="D46" s="193">
        <v>0</v>
      </c>
    </row>
    <row r="47" spans="1:4" s="30" customFormat="1" x14ac:dyDescent="0.25">
      <c r="A47" s="170" t="s">
        <v>21</v>
      </c>
      <c r="B47" s="272" t="s">
        <v>131</v>
      </c>
      <c r="C47" s="195"/>
      <c r="D47" s="193">
        <v>0</v>
      </c>
    </row>
    <row r="48" spans="1:4" s="30" customFormat="1" ht="15.75" customHeight="1" x14ac:dyDescent="0.25">
      <c r="A48" s="361" t="s">
        <v>23</v>
      </c>
      <c r="B48" s="362"/>
      <c r="C48" s="362"/>
      <c r="D48" s="59">
        <f>SUM(D43:D47)</f>
        <v>0</v>
      </c>
    </row>
    <row r="49" spans="1:4" s="30" customFormat="1" ht="15.75" customHeight="1" x14ac:dyDescent="0.25">
      <c r="A49" s="343" t="s">
        <v>144</v>
      </c>
      <c r="B49" s="344"/>
      <c r="C49" s="344"/>
      <c r="D49" s="405"/>
    </row>
    <row r="50" spans="1:4" s="30" customFormat="1" ht="15.75" customHeight="1" x14ac:dyDescent="0.25">
      <c r="A50" s="268" t="s">
        <v>136</v>
      </c>
      <c r="B50" s="200" t="s">
        <v>138</v>
      </c>
      <c r="C50" s="269"/>
      <c r="D50" s="204">
        <f>D30</f>
        <v>3760.97</v>
      </c>
    </row>
    <row r="51" spans="1:4" s="30" customFormat="1" ht="15.75" customHeight="1" x14ac:dyDescent="0.25">
      <c r="A51" s="268" t="s">
        <v>201</v>
      </c>
      <c r="B51" s="200" t="s">
        <v>139</v>
      </c>
      <c r="C51" s="269"/>
      <c r="D51" s="204">
        <f>D41</f>
        <v>8503.58</v>
      </c>
    </row>
    <row r="52" spans="1:4" s="30" customFormat="1" ht="15.75" customHeight="1" x14ac:dyDescent="0.25">
      <c r="A52" s="268" t="s">
        <v>202</v>
      </c>
      <c r="B52" s="200" t="s">
        <v>140</v>
      </c>
      <c r="C52" s="269"/>
      <c r="D52" s="204">
        <f>D48</f>
        <v>0</v>
      </c>
    </row>
    <row r="53" spans="1:4" s="30" customFormat="1" ht="15.75" customHeight="1" x14ac:dyDescent="0.25">
      <c r="A53" s="341" t="s">
        <v>146</v>
      </c>
      <c r="B53" s="342"/>
      <c r="C53" s="342"/>
      <c r="D53" s="213">
        <f>SUM(D50:D52)</f>
        <v>12264.55</v>
      </c>
    </row>
    <row r="54" spans="1:4" s="30" customFormat="1" ht="15.75" customHeight="1" x14ac:dyDescent="0.25">
      <c r="A54" s="343" t="s">
        <v>155</v>
      </c>
      <c r="B54" s="344"/>
      <c r="C54" s="344"/>
      <c r="D54" s="405"/>
    </row>
    <row r="55" spans="1:4" s="30" customFormat="1" ht="15.75" customHeight="1" x14ac:dyDescent="0.25">
      <c r="A55" s="273" t="s">
        <v>192</v>
      </c>
      <c r="B55" s="337" t="s">
        <v>32</v>
      </c>
      <c r="C55" s="338"/>
      <c r="D55" s="169" t="s">
        <v>10</v>
      </c>
    </row>
    <row r="56" spans="1:4" s="30" customFormat="1" ht="15.75" customHeight="1" x14ac:dyDescent="0.25">
      <c r="A56" s="170" t="s">
        <v>0</v>
      </c>
      <c r="B56" s="272" t="s">
        <v>33</v>
      </c>
      <c r="C56" s="172">
        <v>4.5999999999999999E-3</v>
      </c>
      <c r="D56" s="211">
        <f>D$25*C56</f>
        <v>88.99</v>
      </c>
    </row>
    <row r="57" spans="1:4" s="30" customFormat="1" ht="15.75" customHeight="1" x14ac:dyDescent="0.25">
      <c r="A57" s="170" t="s">
        <v>2</v>
      </c>
      <c r="B57" s="272" t="s">
        <v>34</v>
      </c>
      <c r="C57" s="172">
        <v>4.0000000000000002E-4</v>
      </c>
      <c r="D57" s="211">
        <f>D$25*C57</f>
        <v>7.74</v>
      </c>
    </row>
    <row r="58" spans="1:4" s="30" customFormat="1" ht="15.75" customHeight="1" x14ac:dyDescent="0.25">
      <c r="A58" s="170" t="s">
        <v>3</v>
      </c>
      <c r="B58" s="272" t="s">
        <v>35</v>
      </c>
      <c r="C58" s="172">
        <v>1.9400000000000001E-2</v>
      </c>
      <c r="D58" s="211">
        <f>D$25*C58</f>
        <v>375.32</v>
      </c>
    </row>
    <row r="59" spans="1:4" s="30" customFormat="1" ht="30" customHeight="1" x14ac:dyDescent="0.25">
      <c r="A59" s="170" t="s">
        <v>5</v>
      </c>
      <c r="B59" s="271" t="s">
        <v>304</v>
      </c>
      <c r="C59" s="172">
        <v>7.7000000000000002E-3</v>
      </c>
      <c r="D59" s="211">
        <f>D$25*C59</f>
        <v>148.97</v>
      </c>
    </row>
    <row r="60" spans="1:4" s="30" customFormat="1" ht="32.25" customHeight="1" x14ac:dyDescent="0.25">
      <c r="A60" s="170" t="s">
        <v>20</v>
      </c>
      <c r="B60" s="272" t="s">
        <v>205</v>
      </c>
      <c r="C60" s="172">
        <v>0.04</v>
      </c>
      <c r="D60" s="211">
        <f>D$25*C60</f>
        <v>773.86</v>
      </c>
    </row>
    <row r="61" spans="1:4" s="30" customFormat="1" ht="15.75" customHeight="1" x14ac:dyDescent="0.25">
      <c r="A61" s="341" t="s">
        <v>147</v>
      </c>
      <c r="B61" s="342"/>
      <c r="C61" s="280">
        <f>SUM(C56:C60)</f>
        <v>7.2099999999999997E-2</v>
      </c>
      <c r="D61" s="213">
        <f>SUM(D56:D60)</f>
        <v>1394.88</v>
      </c>
    </row>
    <row r="62" spans="1:4" s="30" customFormat="1" x14ac:dyDescent="0.25">
      <c r="A62" s="343" t="s">
        <v>156</v>
      </c>
      <c r="B62" s="344"/>
      <c r="C62" s="344"/>
      <c r="D62" s="405"/>
    </row>
    <row r="63" spans="1:4" s="30" customFormat="1" x14ac:dyDescent="0.25">
      <c r="A63" s="302" t="s">
        <v>191</v>
      </c>
      <c r="B63" s="374" t="s">
        <v>36</v>
      </c>
      <c r="C63" s="374"/>
      <c r="D63" s="168" t="s">
        <v>10</v>
      </c>
    </row>
    <row r="64" spans="1:4" s="30" customFormat="1" x14ac:dyDescent="0.25">
      <c r="A64" s="170" t="s">
        <v>0</v>
      </c>
      <c r="B64" s="303" t="s">
        <v>184</v>
      </c>
      <c r="C64" s="172">
        <f>C29/12</f>
        <v>9.2999999999999992E-3</v>
      </c>
      <c r="D64" s="210">
        <f t="shared" ref="D64:D70" si="0">(D$25+D$53+D$61+D$85)*C64</f>
        <v>307.27</v>
      </c>
    </row>
    <row r="65" spans="1:4" s="30" customFormat="1" x14ac:dyDescent="0.25">
      <c r="A65" s="170" t="s">
        <v>2</v>
      </c>
      <c r="B65" s="303" t="s">
        <v>185</v>
      </c>
      <c r="C65" s="172">
        <v>1.3899999999999999E-2</v>
      </c>
      <c r="D65" s="210">
        <f>(D$25+D$53+D$61+D$85)*C65</f>
        <v>459.25</v>
      </c>
    </row>
    <row r="66" spans="1:4" s="30" customFormat="1" x14ac:dyDescent="0.25">
      <c r="A66" s="170" t="s">
        <v>3</v>
      </c>
      <c r="B66" s="303" t="s">
        <v>188</v>
      </c>
      <c r="C66" s="172">
        <v>1.2999999999999999E-3</v>
      </c>
      <c r="D66" s="210">
        <f t="shared" si="0"/>
        <v>42.95</v>
      </c>
    </row>
    <row r="67" spans="1:4" s="30" customFormat="1" x14ac:dyDescent="0.25">
      <c r="A67" s="170" t="s">
        <v>5</v>
      </c>
      <c r="B67" s="303" t="s">
        <v>186</v>
      </c>
      <c r="C67" s="172">
        <v>2.0000000000000001E-4</v>
      </c>
      <c r="D67" s="210">
        <f t="shared" si="0"/>
        <v>6.61</v>
      </c>
    </row>
    <row r="68" spans="1:4" s="30" customFormat="1" x14ac:dyDescent="0.25">
      <c r="A68" s="170" t="s">
        <v>20</v>
      </c>
      <c r="B68" s="303" t="s">
        <v>291</v>
      </c>
      <c r="C68" s="172">
        <v>2.8E-3</v>
      </c>
      <c r="D68" s="210">
        <f t="shared" si="0"/>
        <v>92.51</v>
      </c>
    </row>
    <row r="69" spans="1:4" s="30" customFormat="1" x14ac:dyDescent="0.25">
      <c r="A69" s="170" t="s">
        <v>21</v>
      </c>
      <c r="B69" s="303" t="s">
        <v>187</v>
      </c>
      <c r="C69" s="172">
        <v>2.9999999999999997E-4</v>
      </c>
      <c r="D69" s="210">
        <f t="shared" si="0"/>
        <v>9.91</v>
      </c>
    </row>
    <row r="70" spans="1:4" s="30" customFormat="1" ht="15.75" customHeight="1" x14ac:dyDescent="0.25">
      <c r="A70" s="170" t="s">
        <v>22</v>
      </c>
      <c r="B70" s="301" t="s">
        <v>189</v>
      </c>
      <c r="C70" s="172">
        <v>0</v>
      </c>
      <c r="D70" s="210">
        <f t="shared" si="0"/>
        <v>0</v>
      </c>
    </row>
    <row r="71" spans="1:4" s="30" customFormat="1" x14ac:dyDescent="0.25">
      <c r="A71" s="361" t="s">
        <v>29</v>
      </c>
      <c r="B71" s="362"/>
      <c r="C71" s="183">
        <f>SUM(C64:C70)</f>
        <v>2.7799999999999998E-2</v>
      </c>
      <c r="D71" s="58">
        <f>SUM(D64:D70)</f>
        <v>918.5</v>
      </c>
    </row>
    <row r="72" spans="1:4" s="30" customFormat="1" x14ac:dyDescent="0.25">
      <c r="A72" s="268"/>
      <c r="B72" s="269"/>
      <c r="C72" s="201"/>
      <c r="D72" s="155"/>
    </row>
    <row r="73" spans="1:4" s="30" customFormat="1" x14ac:dyDescent="0.25">
      <c r="A73" s="268"/>
      <c r="B73" s="363" t="s">
        <v>193</v>
      </c>
      <c r="C73" s="373"/>
      <c r="D73" s="169" t="s">
        <v>10</v>
      </c>
    </row>
    <row r="74" spans="1:4" s="30" customFormat="1" x14ac:dyDescent="0.25">
      <c r="A74" s="194" t="s">
        <v>0</v>
      </c>
      <c r="B74" s="274" t="s">
        <v>194</v>
      </c>
      <c r="C74" s="216">
        <v>0</v>
      </c>
      <c r="D74" s="258">
        <v>0</v>
      </c>
    </row>
    <row r="75" spans="1:4" s="30" customFormat="1" ht="15.75" customHeight="1" x14ac:dyDescent="0.25">
      <c r="A75" s="361" t="s">
        <v>27</v>
      </c>
      <c r="B75" s="362"/>
      <c r="C75" s="205">
        <v>0</v>
      </c>
      <c r="D75" s="59">
        <f>D74</f>
        <v>0</v>
      </c>
    </row>
    <row r="76" spans="1:4" s="30" customFormat="1" ht="15.75" customHeight="1" x14ac:dyDescent="0.25">
      <c r="A76" s="343" t="s">
        <v>30</v>
      </c>
      <c r="B76" s="344"/>
      <c r="C76" s="344"/>
      <c r="D76" s="405"/>
    </row>
    <row r="77" spans="1:4" s="30" customFormat="1" ht="15.75" customHeight="1" x14ac:dyDescent="0.25">
      <c r="A77" s="375" t="s">
        <v>195</v>
      </c>
      <c r="B77" s="376"/>
      <c r="C77" s="376"/>
      <c r="D77" s="407"/>
    </row>
    <row r="78" spans="1:4" s="30" customFormat="1" ht="15.75" customHeight="1" x14ac:dyDescent="0.25">
      <c r="A78" s="273">
        <v>4</v>
      </c>
      <c r="B78" s="337" t="s">
        <v>206</v>
      </c>
      <c r="C78" s="338"/>
      <c r="D78" s="169" t="s">
        <v>10</v>
      </c>
    </row>
    <row r="79" spans="1:4" s="30" customFormat="1" ht="15.75" customHeight="1" x14ac:dyDescent="0.25">
      <c r="A79" s="170" t="s">
        <v>191</v>
      </c>
      <c r="B79" s="272" t="s">
        <v>190</v>
      </c>
      <c r="C79" s="172">
        <f>C71</f>
        <v>2.7799999999999998E-2</v>
      </c>
      <c r="D79" s="211">
        <f>D71</f>
        <v>918.5</v>
      </c>
    </row>
    <row r="80" spans="1:4" s="30" customFormat="1" ht="15.75" customHeight="1" x14ac:dyDescent="0.25">
      <c r="A80" s="170" t="s">
        <v>207</v>
      </c>
      <c r="B80" s="272" t="s">
        <v>193</v>
      </c>
      <c r="C80" s="172">
        <v>0</v>
      </c>
      <c r="D80" s="211">
        <f>(D$25+D$53+D$61)*C80</f>
        <v>0</v>
      </c>
    </row>
    <row r="81" spans="1:4" s="30" customFormat="1" ht="15.75" customHeight="1" x14ac:dyDescent="0.25">
      <c r="A81" s="361" t="s">
        <v>27</v>
      </c>
      <c r="B81" s="362"/>
      <c r="C81" s="175">
        <f>SUM(C79:C80)</f>
        <v>2.7799999999999998E-2</v>
      </c>
      <c r="D81" s="59">
        <f>SUM(D79:D80)</f>
        <v>918.5</v>
      </c>
    </row>
    <row r="82" spans="1:4" s="30" customFormat="1" ht="15.75" customHeight="1" x14ac:dyDescent="0.25">
      <c r="A82" s="341" t="s">
        <v>148</v>
      </c>
      <c r="B82" s="342"/>
      <c r="C82" s="342"/>
      <c r="D82" s="213">
        <f>SUM(D75+D81)</f>
        <v>918.5</v>
      </c>
    </row>
    <row r="83" spans="1:4" s="30" customFormat="1" ht="15.75" customHeight="1" x14ac:dyDescent="0.25">
      <c r="A83" s="339" t="s">
        <v>157</v>
      </c>
      <c r="B83" s="340"/>
      <c r="C83" s="340"/>
      <c r="D83" s="408"/>
    </row>
    <row r="84" spans="1:4" s="30" customFormat="1" ht="15.75" customHeight="1" x14ac:dyDescent="0.25">
      <c r="A84" s="273">
        <v>5</v>
      </c>
      <c r="B84" s="337" t="s">
        <v>24</v>
      </c>
      <c r="C84" s="338"/>
      <c r="D84" s="169" t="s">
        <v>10</v>
      </c>
    </row>
    <row r="85" spans="1:4" s="30" customFormat="1" ht="15.75" customHeight="1" x14ac:dyDescent="0.25">
      <c r="A85" s="170" t="s">
        <v>0</v>
      </c>
      <c r="B85" s="336" t="s">
        <v>208</v>
      </c>
      <c r="C85" s="336"/>
      <c r="D85" s="211">
        <f>Uniformes!H7</f>
        <v>33.93</v>
      </c>
    </row>
    <row r="86" spans="1:4" s="30" customFormat="1" ht="15.75" customHeight="1" x14ac:dyDescent="0.25">
      <c r="A86" s="170" t="s">
        <v>2</v>
      </c>
      <c r="B86" s="336" t="s">
        <v>209</v>
      </c>
      <c r="C86" s="336"/>
      <c r="D86" s="211">
        <f>Materiais!H21</f>
        <v>40.090000000000003</v>
      </c>
    </row>
    <row r="87" spans="1:4" s="30" customFormat="1" ht="15.75" customHeight="1" x14ac:dyDescent="0.25">
      <c r="A87" s="170" t="s">
        <v>3</v>
      </c>
      <c r="B87" s="336" t="s">
        <v>179</v>
      </c>
      <c r="C87" s="336"/>
      <c r="D87" s="211">
        <f>Equipamentos!H21</f>
        <v>765.63</v>
      </c>
    </row>
    <row r="88" spans="1:4" s="30" customFormat="1" ht="15.75" customHeight="1" x14ac:dyDescent="0.25">
      <c r="A88" s="170" t="s">
        <v>5</v>
      </c>
      <c r="B88" s="336" t="s">
        <v>132</v>
      </c>
      <c r="C88" s="336"/>
      <c r="D88" s="211">
        <v>0</v>
      </c>
    </row>
    <row r="89" spans="1:4" s="30" customFormat="1" ht="15.75" customHeight="1" x14ac:dyDescent="0.25">
      <c r="A89" s="341" t="s">
        <v>149</v>
      </c>
      <c r="B89" s="342"/>
      <c r="C89" s="342"/>
      <c r="D89" s="213">
        <f>SUM(D85:D88)</f>
        <v>839.65</v>
      </c>
    </row>
    <row r="90" spans="1:4" s="30" customFormat="1" ht="30" customHeight="1" x14ac:dyDescent="0.25">
      <c r="A90" s="339" t="s">
        <v>37</v>
      </c>
      <c r="B90" s="340"/>
      <c r="C90" s="340"/>
      <c r="D90" s="235">
        <f>D89+D82+D61+D53+D25</f>
        <v>34764.129999999997</v>
      </c>
    </row>
    <row r="91" spans="1:4" s="30" customFormat="1" ht="19.5" customHeight="1" x14ac:dyDescent="0.25">
      <c r="A91" s="343" t="s">
        <v>158</v>
      </c>
      <c r="B91" s="344"/>
      <c r="C91" s="344"/>
      <c r="D91" s="405"/>
    </row>
    <row r="92" spans="1:4" s="30" customFormat="1" x14ac:dyDescent="0.25">
      <c r="A92" s="273">
        <v>6</v>
      </c>
      <c r="B92" s="337" t="s">
        <v>38</v>
      </c>
      <c r="C92" s="355"/>
      <c r="D92" s="169" t="s">
        <v>10</v>
      </c>
    </row>
    <row r="93" spans="1:4" s="30" customFormat="1" x14ac:dyDescent="0.25">
      <c r="A93" s="170" t="s">
        <v>0</v>
      </c>
      <c r="B93" s="272" t="s">
        <v>39</v>
      </c>
      <c r="C93" s="216">
        <v>0.05</v>
      </c>
      <c r="D93" s="211">
        <f>D90*C93</f>
        <v>1738.21</v>
      </c>
    </row>
    <row r="94" spans="1:4" s="30" customFormat="1" x14ac:dyDescent="0.25">
      <c r="A94" s="170" t="s">
        <v>2</v>
      </c>
      <c r="B94" s="272" t="s">
        <v>40</v>
      </c>
      <c r="C94" s="216">
        <v>0.1</v>
      </c>
      <c r="D94" s="211">
        <f>C94*(D90+D93)</f>
        <v>3650.23</v>
      </c>
    </row>
    <row r="95" spans="1:4" s="30" customFormat="1" ht="30" x14ac:dyDescent="0.25">
      <c r="A95" s="170"/>
      <c r="B95" s="272" t="s">
        <v>47</v>
      </c>
      <c r="C95" s="172">
        <f>1-C102</f>
        <v>0.85750000000000004</v>
      </c>
      <c r="D95" s="211">
        <f>D90+D93+D94</f>
        <v>40152.57</v>
      </c>
    </row>
    <row r="96" spans="1:4" s="30" customFormat="1" x14ac:dyDescent="0.25">
      <c r="A96" s="170"/>
      <c r="B96" s="272"/>
      <c r="C96" s="40"/>
      <c r="D96" s="237">
        <f>+D95/C95</f>
        <v>46825.15</v>
      </c>
    </row>
    <row r="97" spans="1:4" s="30" customFormat="1" x14ac:dyDescent="0.25">
      <c r="A97" s="170" t="s">
        <v>3</v>
      </c>
      <c r="B97" s="272" t="s">
        <v>41</v>
      </c>
      <c r="C97" s="217">
        <f>C99+C100+C101</f>
        <v>0.14249999999999999</v>
      </c>
      <c r="D97" s="237"/>
    </row>
    <row r="98" spans="1:4" s="30" customFormat="1" x14ac:dyDescent="0.25">
      <c r="A98" s="170" t="s">
        <v>284</v>
      </c>
      <c r="B98" s="272" t="s">
        <v>280</v>
      </c>
      <c r="C98" s="254">
        <f>C99+C100</f>
        <v>9.2499999999999999E-2</v>
      </c>
      <c r="D98" s="211"/>
    </row>
    <row r="99" spans="1:4" s="30" customFormat="1" x14ac:dyDescent="0.25">
      <c r="A99" s="170" t="s">
        <v>285</v>
      </c>
      <c r="B99" s="278" t="s">
        <v>281</v>
      </c>
      <c r="C99" s="172">
        <v>1.6500000000000001E-2</v>
      </c>
      <c r="D99" s="211">
        <f>+D96*C99</f>
        <v>772.61</v>
      </c>
    </row>
    <row r="100" spans="1:4" s="30" customFormat="1" x14ac:dyDescent="0.25">
      <c r="A100" s="170" t="s">
        <v>286</v>
      </c>
      <c r="B100" s="278" t="s">
        <v>282</v>
      </c>
      <c r="C100" s="172">
        <v>7.5999999999999998E-2</v>
      </c>
      <c r="D100" s="211">
        <f>+D96*C100</f>
        <v>3558.71</v>
      </c>
    </row>
    <row r="101" spans="1:4" s="30" customFormat="1" x14ac:dyDescent="0.25">
      <c r="A101" s="170" t="s">
        <v>287</v>
      </c>
      <c r="B101" s="278" t="s">
        <v>283</v>
      </c>
      <c r="C101" s="172">
        <v>0.05</v>
      </c>
      <c r="D101" s="211">
        <f>+D96*C101</f>
        <v>2341.2600000000002</v>
      </c>
    </row>
    <row r="102" spans="1:4" s="30" customFormat="1" x14ac:dyDescent="0.25">
      <c r="A102" s="273"/>
      <c r="B102" s="220" t="s">
        <v>42</v>
      </c>
      <c r="C102" s="221">
        <f>C97</f>
        <v>0.14249999999999999</v>
      </c>
      <c r="D102" s="223">
        <f>SUM(D99:D101)</f>
        <v>6672.58</v>
      </c>
    </row>
    <row r="103" spans="1:4" s="30" customFormat="1" ht="15.75" customHeight="1" x14ac:dyDescent="0.25">
      <c r="A103" s="361" t="s">
        <v>43</v>
      </c>
      <c r="B103" s="362"/>
      <c r="C103" s="362"/>
      <c r="D103" s="59">
        <f>+D93+D94+D102</f>
        <v>12061.02</v>
      </c>
    </row>
    <row r="104" spans="1:4" s="30" customFormat="1" ht="15.75" customHeight="1" x14ac:dyDescent="0.25">
      <c r="A104" s="367" t="s">
        <v>44</v>
      </c>
      <c r="B104" s="368"/>
      <c r="C104" s="368"/>
      <c r="D104" s="225" t="s">
        <v>10</v>
      </c>
    </row>
    <row r="105" spans="1:4" s="30" customFormat="1" x14ac:dyDescent="0.25">
      <c r="A105" s="170" t="s">
        <v>0</v>
      </c>
      <c r="B105" s="369" t="s">
        <v>45</v>
      </c>
      <c r="C105" s="369"/>
      <c r="D105" s="211">
        <f>D25</f>
        <v>19346.55</v>
      </c>
    </row>
    <row r="106" spans="1:4" s="30" customFormat="1" x14ac:dyDescent="0.25">
      <c r="A106" s="170" t="s">
        <v>2</v>
      </c>
      <c r="B106" s="369" t="s">
        <v>152</v>
      </c>
      <c r="C106" s="369"/>
      <c r="D106" s="211">
        <f>D53</f>
        <v>12264.55</v>
      </c>
    </row>
    <row r="107" spans="1:4" s="30" customFormat="1" x14ac:dyDescent="0.25">
      <c r="A107" s="170" t="s">
        <v>3</v>
      </c>
      <c r="B107" s="369" t="s">
        <v>150</v>
      </c>
      <c r="C107" s="369"/>
      <c r="D107" s="211">
        <f>D61</f>
        <v>1394.88</v>
      </c>
    </row>
    <row r="108" spans="1:4" s="30" customFormat="1" x14ac:dyDescent="0.25">
      <c r="A108" s="170" t="s">
        <v>5</v>
      </c>
      <c r="B108" s="369" t="s">
        <v>143</v>
      </c>
      <c r="C108" s="369"/>
      <c r="D108" s="211">
        <f>D82</f>
        <v>918.5</v>
      </c>
    </row>
    <row r="109" spans="1:4" s="30" customFormat="1" x14ac:dyDescent="0.25">
      <c r="A109" s="170" t="s">
        <v>20</v>
      </c>
      <c r="B109" s="369" t="s">
        <v>151</v>
      </c>
      <c r="C109" s="369"/>
      <c r="D109" s="211">
        <f>D89</f>
        <v>839.65</v>
      </c>
    </row>
    <row r="110" spans="1:4" s="30" customFormat="1" ht="15.75" customHeight="1" x14ac:dyDescent="0.25">
      <c r="A110" s="370" t="s">
        <v>153</v>
      </c>
      <c r="B110" s="364"/>
      <c r="C110" s="364"/>
      <c r="D110" s="223">
        <f>SUM(D105:D109)</f>
        <v>34764.129999999997</v>
      </c>
    </row>
    <row r="111" spans="1:4" s="30" customFormat="1" x14ac:dyDescent="0.25">
      <c r="A111" s="170" t="s">
        <v>21</v>
      </c>
      <c r="B111" s="369" t="s">
        <v>154</v>
      </c>
      <c r="C111" s="369"/>
      <c r="D111" s="211">
        <f>+D103</f>
        <v>12061.02</v>
      </c>
    </row>
    <row r="112" spans="1:4" s="30" customFormat="1" ht="16.5" customHeight="1" thickBot="1" x14ac:dyDescent="0.3">
      <c r="A112" s="353" t="s">
        <v>46</v>
      </c>
      <c r="B112" s="354"/>
      <c r="C112" s="354"/>
      <c r="D112" s="241">
        <f>+D110+D111</f>
        <v>46825.15</v>
      </c>
    </row>
    <row r="113" spans="1:4" ht="16.5" thickBot="1" x14ac:dyDescent="0.3">
      <c r="A113" s="412" t="s">
        <v>251</v>
      </c>
      <c r="B113" s="413"/>
      <c r="C113" s="413"/>
      <c r="D113" s="414"/>
    </row>
    <row r="114" spans="1:4" x14ac:dyDescent="0.25">
      <c r="A114" s="415" t="s">
        <v>290</v>
      </c>
      <c r="B114" s="416"/>
      <c r="C114" s="416"/>
      <c r="D114" s="417"/>
    </row>
    <row r="115" spans="1:4" x14ac:dyDescent="0.25">
      <c r="A115" s="418"/>
      <c r="B115" s="419"/>
      <c r="C115" s="419"/>
      <c r="D115" s="420"/>
    </row>
    <row r="116" spans="1:4" x14ac:dyDescent="0.25">
      <c r="A116" s="418"/>
      <c r="B116" s="419"/>
      <c r="C116" s="419"/>
      <c r="D116" s="420"/>
    </row>
    <row r="117" spans="1:4" x14ac:dyDescent="0.25">
      <c r="A117" s="418"/>
      <c r="B117" s="419"/>
      <c r="C117" s="419"/>
      <c r="D117" s="420"/>
    </row>
    <row r="118" spans="1:4" x14ac:dyDescent="0.25">
      <c r="A118" s="418"/>
      <c r="B118" s="419"/>
      <c r="C118" s="419"/>
      <c r="D118" s="420"/>
    </row>
    <row r="119" spans="1:4" x14ac:dyDescent="0.25">
      <c r="A119" s="418"/>
      <c r="B119" s="419"/>
      <c r="C119" s="419"/>
      <c r="D119" s="420"/>
    </row>
    <row r="120" spans="1:4" x14ac:dyDescent="0.25">
      <c r="A120" s="418"/>
      <c r="B120" s="419"/>
      <c r="C120" s="419"/>
      <c r="D120" s="420"/>
    </row>
    <row r="121" spans="1:4" x14ac:dyDescent="0.25">
      <c r="A121" s="418"/>
      <c r="B121" s="419"/>
      <c r="C121" s="419"/>
      <c r="D121" s="420"/>
    </row>
    <row r="122" spans="1:4" ht="16.5" thickBot="1" x14ac:dyDescent="0.3">
      <c r="A122" s="421"/>
      <c r="B122" s="422"/>
      <c r="C122" s="422"/>
      <c r="D122" s="423"/>
    </row>
    <row r="124" spans="1:4" x14ac:dyDescent="0.25">
      <c r="B124" s="28"/>
    </row>
  </sheetData>
  <mergeCells count="63">
    <mergeCell ref="C6:D6"/>
    <mergeCell ref="A1:D1"/>
    <mergeCell ref="A2:D2"/>
    <mergeCell ref="A3:D3"/>
    <mergeCell ref="C4:D4"/>
    <mergeCell ref="C5:D5"/>
    <mergeCell ref="C7:D7"/>
    <mergeCell ref="A8:D8"/>
    <mergeCell ref="A9:D9"/>
    <mergeCell ref="A10:D10"/>
    <mergeCell ref="A11:C11"/>
    <mergeCell ref="B32:C32"/>
    <mergeCell ref="C12:D12"/>
    <mergeCell ref="C13:D13"/>
    <mergeCell ref="C14:D14"/>
    <mergeCell ref="C15:D15"/>
    <mergeCell ref="A16:C16"/>
    <mergeCell ref="B17:C17"/>
    <mergeCell ref="A25:C25"/>
    <mergeCell ref="A26:C26"/>
    <mergeCell ref="B27:C27"/>
    <mergeCell ref="A30:B30"/>
    <mergeCell ref="A31:D31"/>
    <mergeCell ref="B73:C73"/>
    <mergeCell ref="A41:B41"/>
    <mergeCell ref="B42:C42"/>
    <mergeCell ref="A48:C48"/>
    <mergeCell ref="A49:D49"/>
    <mergeCell ref="A53:C53"/>
    <mergeCell ref="A54:D54"/>
    <mergeCell ref="B55:C55"/>
    <mergeCell ref="A62:D62"/>
    <mergeCell ref="B63:C63"/>
    <mergeCell ref="A71:B71"/>
    <mergeCell ref="A61:B61"/>
    <mergeCell ref="B88:C88"/>
    <mergeCell ref="A75:B75"/>
    <mergeCell ref="A76:D76"/>
    <mergeCell ref="A77:D77"/>
    <mergeCell ref="B78:C78"/>
    <mergeCell ref="A81:B81"/>
    <mergeCell ref="A82:C82"/>
    <mergeCell ref="A83:D83"/>
    <mergeCell ref="B84:C84"/>
    <mergeCell ref="B85:C85"/>
    <mergeCell ref="B86:C86"/>
    <mergeCell ref="B87:C87"/>
    <mergeCell ref="B109:C109"/>
    <mergeCell ref="A89:C89"/>
    <mergeCell ref="A90:C90"/>
    <mergeCell ref="A91:D91"/>
    <mergeCell ref="B92:C92"/>
    <mergeCell ref="A103:C103"/>
    <mergeCell ref="A104:C104"/>
    <mergeCell ref="B105:C105"/>
    <mergeCell ref="B106:C106"/>
    <mergeCell ref="B107:C107"/>
    <mergeCell ref="B108:C108"/>
    <mergeCell ref="A110:C110"/>
    <mergeCell ref="B111:C111"/>
    <mergeCell ref="A112:C112"/>
    <mergeCell ref="A113:D113"/>
    <mergeCell ref="A114:D122"/>
  </mergeCells>
  <hyperlinks>
    <hyperlink ref="B38" r:id="rId1" display="08 - Sebrae 0,3% ou 0,6% - IN nº 03, MPS/SRP/2005, Anexo II e III ver código da Tabela" xr:uid="{00000000-0004-0000-0900-000000000000}"/>
  </hyperlinks>
  <pageMargins left="0.511811024" right="0.511811024" top="0.78740157499999996" bottom="0.78740157499999996" header="0.31496062000000002" footer="0.31496062000000002"/>
  <pageSetup paperSize="9" scale="33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124"/>
  <sheetViews>
    <sheetView view="pageBreakPreview" topLeftCell="A101" zoomScaleNormal="115" zoomScaleSheetLayoutView="100" workbookViewId="0">
      <selection activeCell="B102" sqref="B102"/>
    </sheetView>
  </sheetViews>
  <sheetFormatPr defaultColWidth="9.140625" defaultRowHeight="15.75" x14ac:dyDescent="0.25"/>
  <cols>
    <col min="1" max="1" width="8.7109375" style="68" customWidth="1"/>
    <col min="2" max="2" width="72.5703125" style="31" customWidth="1"/>
    <col min="3" max="3" width="15.7109375" style="32" customWidth="1"/>
    <col min="4" max="4" width="15.7109375" style="28" customWidth="1"/>
    <col min="5" max="5" width="9.140625" style="28" customWidth="1"/>
    <col min="6" max="16384" width="9.140625" style="28"/>
  </cols>
  <sheetData>
    <row r="1" spans="1:4" x14ac:dyDescent="0.25">
      <c r="A1" s="377"/>
      <c r="B1" s="378"/>
      <c r="C1" s="378"/>
      <c r="D1" s="379"/>
    </row>
    <row r="2" spans="1:4" s="38" customFormat="1" ht="16.5" customHeight="1" x14ac:dyDescent="0.25">
      <c r="A2" s="350" t="s">
        <v>127</v>
      </c>
      <c r="B2" s="351"/>
      <c r="C2" s="351"/>
      <c r="D2" s="352"/>
    </row>
    <row r="3" spans="1:4" s="38" customFormat="1" x14ac:dyDescent="0.25">
      <c r="A3" s="347" t="s">
        <v>126</v>
      </c>
      <c r="B3" s="348"/>
      <c r="C3" s="348"/>
      <c r="D3" s="349"/>
    </row>
    <row r="4" spans="1:4" s="38" customFormat="1" ht="15" customHeight="1" x14ac:dyDescent="0.25">
      <c r="A4" s="76" t="s">
        <v>0</v>
      </c>
      <c r="B4" s="242" t="s">
        <v>1</v>
      </c>
      <c r="C4" s="385">
        <v>2025</v>
      </c>
      <c r="D4" s="386"/>
    </row>
    <row r="5" spans="1:4" s="38" customFormat="1" ht="90" customHeight="1" x14ac:dyDescent="0.25">
      <c r="A5" s="76" t="s">
        <v>2</v>
      </c>
      <c r="B5" s="242" t="s">
        <v>135</v>
      </c>
      <c r="C5" s="387" t="s">
        <v>248</v>
      </c>
      <c r="D5" s="388"/>
    </row>
    <row r="6" spans="1:4" s="38" customFormat="1" ht="15.75" customHeight="1" x14ac:dyDescent="0.25">
      <c r="A6" s="76" t="s">
        <v>3</v>
      </c>
      <c r="B6" s="242" t="s">
        <v>4</v>
      </c>
      <c r="C6" s="387"/>
      <c r="D6" s="388"/>
    </row>
    <row r="7" spans="1:4" s="38" customFormat="1" x14ac:dyDescent="0.25">
      <c r="A7" s="76" t="s">
        <v>5</v>
      </c>
      <c r="B7" s="242" t="s">
        <v>295</v>
      </c>
      <c r="C7" s="387">
        <v>12</v>
      </c>
      <c r="D7" s="388"/>
    </row>
    <row r="8" spans="1:4" s="38" customFormat="1" x14ac:dyDescent="0.25">
      <c r="A8" s="347" t="s">
        <v>6</v>
      </c>
      <c r="B8" s="348"/>
      <c r="C8" s="348"/>
      <c r="D8" s="349"/>
    </row>
    <row r="9" spans="1:4" s="38" customFormat="1" x14ac:dyDescent="0.25">
      <c r="A9" s="347" t="s">
        <v>7</v>
      </c>
      <c r="B9" s="348"/>
      <c r="C9" s="348"/>
      <c r="D9" s="349"/>
    </row>
    <row r="10" spans="1:4" s="38" customFormat="1" ht="15.75" customHeight="1" x14ac:dyDescent="0.25">
      <c r="A10" s="347" t="s">
        <v>8</v>
      </c>
      <c r="B10" s="348"/>
      <c r="C10" s="348"/>
      <c r="D10" s="349"/>
    </row>
    <row r="11" spans="1:4" s="38" customFormat="1" ht="30" customHeight="1" x14ac:dyDescent="0.25">
      <c r="A11" s="389" t="s">
        <v>9</v>
      </c>
      <c r="B11" s="390"/>
      <c r="C11" s="390"/>
      <c r="D11" s="279"/>
    </row>
    <row r="12" spans="1:4" s="38" customFormat="1" ht="60" customHeight="1" x14ac:dyDescent="0.25">
      <c r="A12" s="76">
        <v>1</v>
      </c>
      <c r="B12" s="243" t="s">
        <v>128</v>
      </c>
      <c r="C12" s="380" t="s">
        <v>249</v>
      </c>
      <c r="D12" s="381"/>
    </row>
    <row r="13" spans="1:4" s="38" customFormat="1" ht="30" customHeight="1" x14ac:dyDescent="0.25">
      <c r="A13" s="76">
        <v>2</v>
      </c>
      <c r="B13" s="243" t="s">
        <v>11</v>
      </c>
      <c r="C13" s="424">
        <f>(13581.68+(13581.68*10.18%)+(14964.25*8.9%)+(16296.07*6.97%)+(17431.95*7.5%))</f>
        <v>18739.349999999999</v>
      </c>
      <c r="D13" s="425"/>
    </row>
    <row r="14" spans="1:4" s="38" customFormat="1" ht="15.95" customHeight="1" x14ac:dyDescent="0.25">
      <c r="A14" s="76">
        <v>3</v>
      </c>
      <c r="B14" s="243" t="s">
        <v>12</v>
      </c>
      <c r="C14" s="380" t="s">
        <v>239</v>
      </c>
      <c r="D14" s="381"/>
    </row>
    <row r="15" spans="1:4" s="38" customFormat="1" x14ac:dyDescent="0.25">
      <c r="A15" s="76">
        <v>4</v>
      </c>
      <c r="B15" s="244" t="s">
        <v>13</v>
      </c>
      <c r="C15" s="383">
        <v>2025</v>
      </c>
      <c r="D15" s="384"/>
    </row>
    <row r="16" spans="1:4" s="39" customFormat="1" x14ac:dyDescent="0.25">
      <c r="A16" s="345" t="s">
        <v>14</v>
      </c>
      <c r="B16" s="346"/>
      <c r="C16" s="346"/>
      <c r="D16" s="150" t="s">
        <v>247</v>
      </c>
    </row>
    <row r="17" spans="1:4" s="39" customFormat="1" x14ac:dyDescent="0.25">
      <c r="A17" s="268">
        <v>1</v>
      </c>
      <c r="B17" s="363" t="s">
        <v>15</v>
      </c>
      <c r="C17" s="363"/>
      <c r="D17" s="152" t="s">
        <v>10</v>
      </c>
    </row>
    <row r="18" spans="1:4" s="38" customFormat="1" ht="15.75" customHeight="1" x14ac:dyDescent="0.25">
      <c r="A18" s="153" t="s">
        <v>0</v>
      </c>
      <c r="B18" s="245" t="s">
        <v>16</v>
      </c>
      <c r="C18" s="244"/>
      <c r="D18" s="155">
        <f>C13</f>
        <v>18739.349999999999</v>
      </c>
    </row>
    <row r="19" spans="1:4" s="38" customFormat="1" ht="15.75" customHeight="1" x14ac:dyDescent="0.25">
      <c r="A19" s="153" t="s">
        <v>2</v>
      </c>
      <c r="B19" s="245" t="s">
        <v>17</v>
      </c>
      <c r="C19" s="246"/>
      <c r="D19" s="193"/>
    </row>
    <row r="20" spans="1:4" s="38" customFormat="1" ht="15.75" customHeight="1" x14ac:dyDescent="0.25">
      <c r="A20" s="153" t="s">
        <v>3</v>
      </c>
      <c r="B20" s="245" t="s">
        <v>18</v>
      </c>
      <c r="C20" s="159">
        <v>1518</v>
      </c>
      <c r="D20" s="193">
        <f>40%*C20</f>
        <v>607.20000000000005</v>
      </c>
    </row>
    <row r="21" spans="1:4" s="38" customFormat="1" ht="15.75" customHeight="1" x14ac:dyDescent="0.25">
      <c r="A21" s="153" t="s">
        <v>5</v>
      </c>
      <c r="B21" s="245" t="s">
        <v>19</v>
      </c>
      <c r="C21" s="246"/>
      <c r="D21" s="193">
        <f>((((D18+D20)/220)*20%)*8)*15.21</f>
        <v>2140.08</v>
      </c>
    </row>
    <row r="22" spans="1:4" s="38" customFormat="1" ht="15.75" customHeight="1" x14ac:dyDescent="0.25">
      <c r="A22" s="153" t="s">
        <v>20</v>
      </c>
      <c r="B22" s="245" t="s">
        <v>196</v>
      </c>
      <c r="C22" s="246"/>
      <c r="D22" s="193"/>
    </row>
    <row r="23" spans="1:4" s="38" customFormat="1" x14ac:dyDescent="0.25">
      <c r="A23" s="153" t="s">
        <v>21</v>
      </c>
      <c r="B23" s="245" t="s">
        <v>133</v>
      </c>
      <c r="C23" s="247"/>
      <c r="D23" s="193"/>
    </row>
    <row r="24" spans="1:4" s="38" customFormat="1" ht="15.75" customHeight="1" x14ac:dyDescent="0.25">
      <c r="A24" s="153" t="s">
        <v>22</v>
      </c>
      <c r="B24" s="248" t="s">
        <v>134</v>
      </c>
      <c r="C24" s="247"/>
      <c r="D24" s="193"/>
    </row>
    <row r="25" spans="1:4" s="39" customFormat="1" ht="15.75" customHeight="1" x14ac:dyDescent="0.25">
      <c r="A25" s="341" t="s">
        <v>145</v>
      </c>
      <c r="B25" s="342"/>
      <c r="C25" s="342"/>
      <c r="D25" s="213">
        <f>SUM(D18:D24)</f>
        <v>21486.63</v>
      </c>
    </row>
    <row r="26" spans="1:4" s="39" customFormat="1" x14ac:dyDescent="0.25">
      <c r="A26" s="343" t="s">
        <v>48</v>
      </c>
      <c r="B26" s="344"/>
      <c r="C26" s="344"/>
      <c r="D26" s="259"/>
    </row>
    <row r="27" spans="1:4" s="38" customFormat="1" x14ac:dyDescent="0.25">
      <c r="A27" s="273">
        <v>2</v>
      </c>
      <c r="B27" s="337" t="s">
        <v>197</v>
      </c>
      <c r="C27" s="355"/>
      <c r="D27" s="169" t="s">
        <v>10</v>
      </c>
    </row>
    <row r="28" spans="1:4" s="38" customFormat="1" x14ac:dyDescent="0.25">
      <c r="A28" s="170" t="s">
        <v>0</v>
      </c>
      <c r="B28" s="278" t="s">
        <v>28</v>
      </c>
      <c r="C28" s="172">
        <f>1/12</f>
        <v>8.3299999999999999E-2</v>
      </c>
      <c r="D28" s="211">
        <f>(D25)*C28</f>
        <v>1789.84</v>
      </c>
    </row>
    <row r="29" spans="1:4" s="38" customFormat="1" x14ac:dyDescent="0.25">
      <c r="A29" s="170" t="s">
        <v>2</v>
      </c>
      <c r="B29" s="278" t="s">
        <v>141</v>
      </c>
      <c r="C29" s="172">
        <v>0.1111</v>
      </c>
      <c r="D29" s="211">
        <f>(D25)*C29</f>
        <v>2387.16</v>
      </c>
    </row>
    <row r="30" spans="1:4" x14ac:dyDescent="0.25">
      <c r="A30" s="361" t="s">
        <v>27</v>
      </c>
      <c r="B30" s="362"/>
      <c r="C30" s="175">
        <f>SUM(C28:C29)</f>
        <v>0.19439999999999999</v>
      </c>
      <c r="D30" s="59">
        <f>SUM(D28:D29)</f>
        <v>4177</v>
      </c>
    </row>
    <row r="31" spans="1:4" ht="32.25" customHeight="1" x14ac:dyDescent="0.25">
      <c r="A31" s="358" t="s">
        <v>198</v>
      </c>
      <c r="B31" s="359"/>
      <c r="C31" s="359"/>
      <c r="D31" s="360"/>
    </row>
    <row r="32" spans="1:4" x14ac:dyDescent="0.25">
      <c r="A32" s="270" t="s">
        <v>201</v>
      </c>
      <c r="B32" s="356" t="s">
        <v>25</v>
      </c>
      <c r="C32" s="357"/>
      <c r="D32" s="215" t="s">
        <v>10</v>
      </c>
    </row>
    <row r="33" spans="1:4" x14ac:dyDescent="0.25">
      <c r="A33" s="170" t="s">
        <v>0</v>
      </c>
      <c r="B33" s="179" t="s">
        <v>296</v>
      </c>
      <c r="C33" s="172">
        <v>0.2</v>
      </c>
      <c r="D33" s="211">
        <f>(D25+D30)*C33</f>
        <v>5132.7299999999996</v>
      </c>
    </row>
    <row r="34" spans="1:4" x14ac:dyDescent="0.25">
      <c r="A34" s="170" t="s">
        <v>2</v>
      </c>
      <c r="B34" s="179" t="s">
        <v>297</v>
      </c>
      <c r="C34" s="180">
        <v>2.5000000000000001E-2</v>
      </c>
      <c r="D34" s="211">
        <f>(D25+D30)*C34</f>
        <v>641.59</v>
      </c>
    </row>
    <row r="35" spans="1:4" ht="45" x14ac:dyDescent="0.25">
      <c r="A35" s="170" t="s">
        <v>3</v>
      </c>
      <c r="B35" s="271" t="s">
        <v>298</v>
      </c>
      <c r="C35" s="180">
        <v>0.03</v>
      </c>
      <c r="D35" s="211">
        <f>(D25+D30)*C35</f>
        <v>769.91</v>
      </c>
    </row>
    <row r="36" spans="1:4" x14ac:dyDescent="0.25">
      <c r="A36" s="170" t="s">
        <v>5</v>
      </c>
      <c r="B36" s="179" t="s">
        <v>299</v>
      </c>
      <c r="C36" s="180">
        <v>1.4999999999999999E-2</v>
      </c>
      <c r="D36" s="211">
        <f>(D25+D30)*C36</f>
        <v>384.95</v>
      </c>
    </row>
    <row r="37" spans="1:4" x14ac:dyDescent="0.25">
      <c r="A37" s="170" t="s">
        <v>20</v>
      </c>
      <c r="B37" s="179" t="s">
        <v>300</v>
      </c>
      <c r="C37" s="180">
        <v>0.01</v>
      </c>
      <c r="D37" s="211">
        <f>(D25+D30)*C37</f>
        <v>256.64</v>
      </c>
    </row>
    <row r="38" spans="1:4" x14ac:dyDescent="0.25">
      <c r="A38" s="170" t="s">
        <v>21</v>
      </c>
      <c r="B38" s="181" t="s">
        <v>200</v>
      </c>
      <c r="C38" s="180">
        <v>6.0000000000000001E-3</v>
      </c>
      <c r="D38" s="211">
        <f>(D25+D30)*C38</f>
        <v>153.97999999999999</v>
      </c>
    </row>
    <row r="39" spans="1:4" ht="30.75" customHeight="1" x14ac:dyDescent="0.25">
      <c r="A39" s="170" t="s">
        <v>22</v>
      </c>
      <c r="B39" s="271" t="s">
        <v>301</v>
      </c>
      <c r="C39" s="180">
        <v>2E-3</v>
      </c>
      <c r="D39" s="211">
        <f>(D25+D30)*C39</f>
        <v>51.33</v>
      </c>
    </row>
    <row r="40" spans="1:4" x14ac:dyDescent="0.25">
      <c r="A40" s="170" t="s">
        <v>26</v>
      </c>
      <c r="B40" s="182" t="s">
        <v>199</v>
      </c>
      <c r="C40" s="180">
        <v>0.08</v>
      </c>
      <c r="D40" s="211">
        <f>(D25+D30)*C40</f>
        <v>2053.09</v>
      </c>
    </row>
    <row r="41" spans="1:4" s="30" customFormat="1" x14ac:dyDescent="0.25">
      <c r="A41" s="361" t="s">
        <v>27</v>
      </c>
      <c r="B41" s="362"/>
      <c r="C41" s="183">
        <f>SUM(C33:C40)</f>
        <v>0.36799999999999999</v>
      </c>
      <c r="D41" s="59">
        <f>SUM(D33:D40)</f>
        <v>9444.2199999999993</v>
      </c>
    </row>
    <row r="42" spans="1:4" s="30" customFormat="1" x14ac:dyDescent="0.25">
      <c r="A42" s="186" t="s">
        <v>202</v>
      </c>
      <c r="B42" s="371" t="s">
        <v>203</v>
      </c>
      <c r="C42" s="372"/>
      <c r="D42" s="230" t="s">
        <v>10</v>
      </c>
    </row>
    <row r="43" spans="1:4" s="30" customFormat="1" x14ac:dyDescent="0.25">
      <c r="A43" s="189" t="s">
        <v>0</v>
      </c>
      <c r="B43" s="252" t="s">
        <v>137</v>
      </c>
      <c r="C43" s="191"/>
      <c r="D43" s="193">
        <v>0</v>
      </c>
    </row>
    <row r="44" spans="1:4" s="30" customFormat="1" x14ac:dyDescent="0.25">
      <c r="A44" s="194" t="s">
        <v>2</v>
      </c>
      <c r="B44" s="248" t="s">
        <v>204</v>
      </c>
      <c r="C44" s="160"/>
      <c r="D44" s="193">
        <v>0</v>
      </c>
    </row>
    <row r="45" spans="1:4" s="30" customFormat="1" x14ac:dyDescent="0.25">
      <c r="A45" s="170" t="s">
        <v>5</v>
      </c>
      <c r="B45" s="278" t="s">
        <v>129</v>
      </c>
      <c r="C45" s="195"/>
      <c r="D45" s="193">
        <v>0</v>
      </c>
    </row>
    <row r="46" spans="1:4" s="30" customFormat="1" x14ac:dyDescent="0.25">
      <c r="A46" s="170" t="s">
        <v>20</v>
      </c>
      <c r="B46" s="278" t="s">
        <v>130</v>
      </c>
      <c r="C46" s="172"/>
      <c r="D46" s="193">
        <v>0</v>
      </c>
    </row>
    <row r="47" spans="1:4" s="30" customFormat="1" x14ac:dyDescent="0.25">
      <c r="A47" s="170" t="s">
        <v>21</v>
      </c>
      <c r="B47" s="278" t="s">
        <v>131</v>
      </c>
      <c r="C47" s="195"/>
      <c r="D47" s="193">
        <v>0</v>
      </c>
    </row>
    <row r="48" spans="1:4" s="30" customFormat="1" ht="15.75" customHeight="1" x14ac:dyDescent="0.25">
      <c r="A48" s="361" t="s">
        <v>23</v>
      </c>
      <c r="B48" s="362"/>
      <c r="C48" s="362"/>
      <c r="D48" s="59">
        <f>SUM(D43:D47)</f>
        <v>0</v>
      </c>
    </row>
    <row r="49" spans="1:4" s="30" customFormat="1" ht="15.75" customHeight="1" x14ac:dyDescent="0.25">
      <c r="A49" s="343" t="s">
        <v>144</v>
      </c>
      <c r="B49" s="344"/>
      <c r="C49" s="344"/>
      <c r="D49" s="405"/>
    </row>
    <row r="50" spans="1:4" s="30" customFormat="1" ht="15.75" customHeight="1" x14ac:dyDescent="0.25">
      <c r="A50" s="268" t="s">
        <v>136</v>
      </c>
      <c r="B50" s="200" t="s">
        <v>138</v>
      </c>
      <c r="C50" s="269"/>
      <c r="D50" s="204">
        <f>D30</f>
        <v>4177</v>
      </c>
    </row>
    <row r="51" spans="1:4" s="30" customFormat="1" ht="15.75" customHeight="1" x14ac:dyDescent="0.25">
      <c r="A51" s="268" t="s">
        <v>201</v>
      </c>
      <c r="B51" s="200" t="s">
        <v>139</v>
      </c>
      <c r="C51" s="269"/>
      <c r="D51" s="204">
        <f>D41</f>
        <v>9444.2199999999993</v>
      </c>
    </row>
    <row r="52" spans="1:4" s="30" customFormat="1" ht="15.75" customHeight="1" x14ac:dyDescent="0.25">
      <c r="A52" s="268" t="s">
        <v>202</v>
      </c>
      <c r="B52" s="200" t="s">
        <v>140</v>
      </c>
      <c r="C52" s="269"/>
      <c r="D52" s="204">
        <f>D48</f>
        <v>0</v>
      </c>
    </row>
    <row r="53" spans="1:4" s="30" customFormat="1" ht="15.75" customHeight="1" x14ac:dyDescent="0.25">
      <c r="A53" s="341" t="s">
        <v>146</v>
      </c>
      <c r="B53" s="342"/>
      <c r="C53" s="342"/>
      <c r="D53" s="213">
        <f>SUM(D50:D52)</f>
        <v>13621.22</v>
      </c>
    </row>
    <row r="54" spans="1:4" s="30" customFormat="1" ht="15.75" customHeight="1" x14ac:dyDescent="0.25">
      <c r="A54" s="343" t="s">
        <v>155</v>
      </c>
      <c r="B54" s="344"/>
      <c r="C54" s="344"/>
      <c r="D54" s="405"/>
    </row>
    <row r="55" spans="1:4" s="30" customFormat="1" ht="15.75" customHeight="1" x14ac:dyDescent="0.25">
      <c r="A55" s="273" t="s">
        <v>192</v>
      </c>
      <c r="B55" s="337" t="s">
        <v>32</v>
      </c>
      <c r="C55" s="338"/>
      <c r="D55" s="169" t="s">
        <v>10</v>
      </c>
    </row>
    <row r="56" spans="1:4" s="30" customFormat="1" ht="15.75" customHeight="1" x14ac:dyDescent="0.25">
      <c r="A56" s="170" t="s">
        <v>0</v>
      </c>
      <c r="B56" s="278" t="s">
        <v>33</v>
      </c>
      <c r="C56" s="172">
        <v>4.5999999999999999E-3</v>
      </c>
      <c r="D56" s="211">
        <f>D$25*C56</f>
        <v>98.84</v>
      </c>
    </row>
    <row r="57" spans="1:4" s="30" customFormat="1" ht="15.75" customHeight="1" x14ac:dyDescent="0.25">
      <c r="A57" s="170" t="s">
        <v>2</v>
      </c>
      <c r="B57" s="278" t="s">
        <v>34</v>
      </c>
      <c r="C57" s="172">
        <v>4.0000000000000002E-4</v>
      </c>
      <c r="D57" s="211">
        <f>D$25*C57</f>
        <v>8.59</v>
      </c>
    </row>
    <row r="58" spans="1:4" s="30" customFormat="1" ht="15.75" customHeight="1" x14ac:dyDescent="0.25">
      <c r="A58" s="170" t="s">
        <v>3</v>
      </c>
      <c r="B58" s="278" t="s">
        <v>35</v>
      </c>
      <c r="C58" s="172">
        <v>1.9400000000000001E-2</v>
      </c>
      <c r="D58" s="211">
        <f>D$25*C58</f>
        <v>416.84</v>
      </c>
    </row>
    <row r="59" spans="1:4" s="30" customFormat="1" ht="30" customHeight="1" x14ac:dyDescent="0.25">
      <c r="A59" s="170" t="s">
        <v>5</v>
      </c>
      <c r="B59" s="260" t="s">
        <v>304</v>
      </c>
      <c r="C59" s="172">
        <v>7.7000000000000002E-3</v>
      </c>
      <c r="D59" s="211">
        <f>D$25*C59</f>
        <v>165.45</v>
      </c>
    </row>
    <row r="60" spans="1:4" s="30" customFormat="1" ht="32.25" customHeight="1" x14ac:dyDescent="0.25">
      <c r="A60" s="170" t="s">
        <v>20</v>
      </c>
      <c r="B60" s="278" t="s">
        <v>205</v>
      </c>
      <c r="C60" s="172">
        <v>0.04</v>
      </c>
      <c r="D60" s="211">
        <f>D$25*C60</f>
        <v>859.47</v>
      </c>
    </row>
    <row r="61" spans="1:4" s="30" customFormat="1" ht="15.75" customHeight="1" x14ac:dyDescent="0.25">
      <c r="A61" s="341" t="s">
        <v>147</v>
      </c>
      <c r="B61" s="342"/>
      <c r="C61" s="280">
        <f>SUM(C56:C60)</f>
        <v>7.2099999999999997E-2</v>
      </c>
      <c r="D61" s="213">
        <f>SUM(D56:D60)</f>
        <v>1549.19</v>
      </c>
    </row>
    <row r="62" spans="1:4" s="30" customFormat="1" x14ac:dyDescent="0.25">
      <c r="A62" s="343" t="s">
        <v>156</v>
      </c>
      <c r="B62" s="344"/>
      <c r="C62" s="344"/>
      <c r="D62" s="405"/>
    </row>
    <row r="63" spans="1:4" s="30" customFormat="1" x14ac:dyDescent="0.25">
      <c r="A63" s="273" t="s">
        <v>191</v>
      </c>
      <c r="B63" s="403" t="s">
        <v>36</v>
      </c>
      <c r="C63" s="403"/>
      <c r="D63" s="169" t="s">
        <v>10</v>
      </c>
    </row>
    <row r="64" spans="1:4" s="30" customFormat="1" x14ac:dyDescent="0.25">
      <c r="A64" s="170" t="s">
        <v>0</v>
      </c>
      <c r="B64" s="278" t="s">
        <v>184</v>
      </c>
      <c r="C64" s="172">
        <f>C29/12</f>
        <v>9.2999999999999992E-3</v>
      </c>
      <c r="D64" s="211">
        <f t="shared" ref="D64:D70" si="0">(D$25+D$53+D$61+D$85)*C64</f>
        <v>341.23</v>
      </c>
    </row>
    <row r="65" spans="1:4" s="30" customFormat="1" x14ac:dyDescent="0.25">
      <c r="A65" s="170" t="s">
        <v>2</v>
      </c>
      <c r="B65" s="278" t="s">
        <v>185</v>
      </c>
      <c r="C65" s="172">
        <v>1.3899999999999999E-2</v>
      </c>
      <c r="D65" s="211">
        <f t="shared" si="0"/>
        <v>510</v>
      </c>
    </row>
    <row r="66" spans="1:4" s="30" customFormat="1" x14ac:dyDescent="0.25">
      <c r="A66" s="170" t="s">
        <v>3</v>
      </c>
      <c r="B66" s="278" t="s">
        <v>188</v>
      </c>
      <c r="C66" s="172">
        <v>1.2999999999999999E-3</v>
      </c>
      <c r="D66" s="211">
        <f t="shared" si="0"/>
        <v>47.7</v>
      </c>
    </row>
    <row r="67" spans="1:4" s="30" customFormat="1" x14ac:dyDescent="0.25">
      <c r="A67" s="170" t="s">
        <v>5</v>
      </c>
      <c r="B67" s="278" t="s">
        <v>186</v>
      </c>
      <c r="C67" s="172">
        <v>2.0000000000000001E-4</v>
      </c>
      <c r="D67" s="211">
        <f t="shared" si="0"/>
        <v>7.34</v>
      </c>
    </row>
    <row r="68" spans="1:4" s="30" customFormat="1" x14ac:dyDescent="0.25">
      <c r="A68" s="170" t="s">
        <v>20</v>
      </c>
      <c r="B68" s="278" t="s">
        <v>291</v>
      </c>
      <c r="C68" s="172">
        <v>2.8E-3</v>
      </c>
      <c r="D68" s="211">
        <f t="shared" si="0"/>
        <v>102.73</v>
      </c>
    </row>
    <row r="69" spans="1:4" s="30" customFormat="1" x14ac:dyDescent="0.25">
      <c r="A69" s="170" t="s">
        <v>21</v>
      </c>
      <c r="B69" s="278" t="s">
        <v>187</v>
      </c>
      <c r="C69" s="172">
        <v>2.9999999999999997E-4</v>
      </c>
      <c r="D69" s="211">
        <f t="shared" si="0"/>
        <v>11.01</v>
      </c>
    </row>
    <row r="70" spans="1:4" s="30" customFormat="1" ht="15.75" customHeight="1" x14ac:dyDescent="0.25">
      <c r="A70" s="170" t="s">
        <v>22</v>
      </c>
      <c r="B70" s="272" t="s">
        <v>189</v>
      </c>
      <c r="C70" s="172">
        <v>0</v>
      </c>
      <c r="D70" s="211">
        <f t="shared" si="0"/>
        <v>0</v>
      </c>
    </row>
    <row r="71" spans="1:4" s="30" customFormat="1" x14ac:dyDescent="0.25">
      <c r="A71" s="361" t="s">
        <v>29</v>
      </c>
      <c r="B71" s="362"/>
      <c r="C71" s="183">
        <f>SUM(C64:C70)</f>
        <v>2.7799999999999998E-2</v>
      </c>
      <c r="D71" s="59">
        <f>SUM(D64:D70)</f>
        <v>1020.01</v>
      </c>
    </row>
    <row r="72" spans="1:4" s="30" customFormat="1" x14ac:dyDescent="0.25">
      <c r="A72" s="268"/>
      <c r="B72" s="269"/>
      <c r="C72" s="261"/>
      <c r="D72" s="155"/>
    </row>
    <row r="73" spans="1:4" s="30" customFormat="1" x14ac:dyDescent="0.25">
      <c r="A73" s="268"/>
      <c r="B73" s="363" t="s">
        <v>193</v>
      </c>
      <c r="C73" s="373"/>
      <c r="D73" s="169" t="s">
        <v>10</v>
      </c>
    </row>
    <row r="74" spans="1:4" s="30" customFormat="1" x14ac:dyDescent="0.25">
      <c r="A74" s="194" t="s">
        <v>0</v>
      </c>
      <c r="B74" s="274" t="s">
        <v>194</v>
      </c>
      <c r="C74" s="216">
        <v>0</v>
      </c>
      <c r="D74" s="258">
        <v>0</v>
      </c>
    </row>
    <row r="75" spans="1:4" s="30" customFormat="1" ht="15.75" customHeight="1" x14ac:dyDescent="0.25">
      <c r="A75" s="361" t="s">
        <v>27</v>
      </c>
      <c r="B75" s="362"/>
      <c r="C75" s="205">
        <v>0</v>
      </c>
      <c r="D75" s="59">
        <f>D74</f>
        <v>0</v>
      </c>
    </row>
    <row r="76" spans="1:4" s="30" customFormat="1" ht="15.75" customHeight="1" x14ac:dyDescent="0.25">
      <c r="A76" s="343" t="s">
        <v>30</v>
      </c>
      <c r="B76" s="344"/>
      <c r="C76" s="344"/>
      <c r="D76" s="405"/>
    </row>
    <row r="77" spans="1:4" s="30" customFormat="1" ht="15.75" customHeight="1" x14ac:dyDescent="0.25">
      <c r="A77" s="375" t="s">
        <v>195</v>
      </c>
      <c r="B77" s="376"/>
      <c r="C77" s="376"/>
      <c r="D77" s="407"/>
    </row>
    <row r="78" spans="1:4" s="30" customFormat="1" ht="15.75" customHeight="1" x14ac:dyDescent="0.25">
      <c r="A78" s="273">
        <v>4</v>
      </c>
      <c r="B78" s="337" t="s">
        <v>206</v>
      </c>
      <c r="C78" s="338"/>
      <c r="D78" s="169" t="s">
        <v>10</v>
      </c>
    </row>
    <row r="79" spans="1:4" s="30" customFormat="1" ht="15.75" customHeight="1" x14ac:dyDescent="0.25">
      <c r="A79" s="170" t="s">
        <v>191</v>
      </c>
      <c r="B79" s="278" t="s">
        <v>190</v>
      </c>
      <c r="C79" s="172">
        <f>C71</f>
        <v>2.7799999999999998E-2</v>
      </c>
      <c r="D79" s="211">
        <f>D71</f>
        <v>1020.01</v>
      </c>
    </row>
    <row r="80" spans="1:4" s="30" customFormat="1" ht="15.75" customHeight="1" x14ac:dyDescent="0.25">
      <c r="A80" s="170" t="s">
        <v>207</v>
      </c>
      <c r="B80" s="278" t="s">
        <v>193</v>
      </c>
      <c r="C80" s="172">
        <v>0</v>
      </c>
      <c r="D80" s="211">
        <f>(D$25+D$53+D$61)*C80</f>
        <v>0</v>
      </c>
    </row>
    <row r="81" spans="1:4" s="30" customFormat="1" ht="15.75" customHeight="1" x14ac:dyDescent="0.25">
      <c r="A81" s="361" t="s">
        <v>27</v>
      </c>
      <c r="B81" s="362"/>
      <c r="C81" s="175">
        <f>SUM(C79:C80)</f>
        <v>2.7799999999999998E-2</v>
      </c>
      <c r="D81" s="59">
        <f>SUM(D79:D80)</f>
        <v>1020.01</v>
      </c>
    </row>
    <row r="82" spans="1:4" s="30" customFormat="1" ht="15.75" customHeight="1" x14ac:dyDescent="0.25">
      <c r="A82" s="341" t="s">
        <v>148</v>
      </c>
      <c r="B82" s="342"/>
      <c r="C82" s="342"/>
      <c r="D82" s="213">
        <f>SUM(D75+D81)</f>
        <v>1020.01</v>
      </c>
    </row>
    <row r="83" spans="1:4" s="30" customFormat="1" ht="15.75" customHeight="1" x14ac:dyDescent="0.25">
      <c r="A83" s="339" t="s">
        <v>157</v>
      </c>
      <c r="B83" s="340"/>
      <c r="C83" s="340"/>
      <c r="D83" s="408"/>
    </row>
    <row r="84" spans="1:4" s="30" customFormat="1" ht="15.75" customHeight="1" x14ac:dyDescent="0.25">
      <c r="A84" s="273">
        <v>5</v>
      </c>
      <c r="B84" s="337" t="s">
        <v>24</v>
      </c>
      <c r="C84" s="338"/>
      <c r="D84" s="169" t="s">
        <v>10</v>
      </c>
    </row>
    <row r="85" spans="1:4" s="30" customFormat="1" ht="15.75" customHeight="1" x14ac:dyDescent="0.25">
      <c r="A85" s="170" t="s">
        <v>0</v>
      </c>
      <c r="B85" s="336" t="s">
        <v>208</v>
      </c>
      <c r="C85" s="336"/>
      <c r="D85" s="211">
        <f>Uniformes!H7</f>
        <v>33.93</v>
      </c>
    </row>
    <row r="86" spans="1:4" s="30" customFormat="1" ht="15.75" customHeight="1" x14ac:dyDescent="0.25">
      <c r="A86" s="170" t="s">
        <v>2</v>
      </c>
      <c r="B86" s="336" t="s">
        <v>209</v>
      </c>
      <c r="C86" s="336"/>
      <c r="D86" s="211">
        <f>Materiais!H21</f>
        <v>40.090000000000003</v>
      </c>
    </row>
    <row r="87" spans="1:4" s="30" customFormat="1" ht="15.75" customHeight="1" x14ac:dyDescent="0.25">
      <c r="A87" s="170" t="s">
        <v>3</v>
      </c>
      <c r="B87" s="336" t="s">
        <v>179</v>
      </c>
      <c r="C87" s="336"/>
      <c r="D87" s="211">
        <f>Equipamentos!H21</f>
        <v>765.63</v>
      </c>
    </row>
    <row r="88" spans="1:4" s="30" customFormat="1" ht="15.75" customHeight="1" x14ac:dyDescent="0.25">
      <c r="A88" s="170" t="s">
        <v>5</v>
      </c>
      <c r="B88" s="336" t="s">
        <v>132</v>
      </c>
      <c r="C88" s="336"/>
      <c r="D88" s="211">
        <v>0</v>
      </c>
    </row>
    <row r="89" spans="1:4" s="30" customFormat="1" ht="15.75" customHeight="1" x14ac:dyDescent="0.25">
      <c r="A89" s="341" t="s">
        <v>149</v>
      </c>
      <c r="B89" s="342"/>
      <c r="C89" s="342"/>
      <c r="D89" s="213">
        <f>SUM(D85:D88)</f>
        <v>839.65</v>
      </c>
    </row>
    <row r="90" spans="1:4" s="30" customFormat="1" ht="30" customHeight="1" x14ac:dyDescent="0.25">
      <c r="A90" s="339" t="s">
        <v>37</v>
      </c>
      <c r="B90" s="340"/>
      <c r="C90" s="340"/>
      <c r="D90" s="235">
        <f>D89+D82+D61+D53+D25</f>
        <v>38516.699999999997</v>
      </c>
    </row>
    <row r="91" spans="1:4" s="30" customFormat="1" ht="19.5" customHeight="1" x14ac:dyDescent="0.25">
      <c r="A91" s="343" t="s">
        <v>158</v>
      </c>
      <c r="B91" s="344"/>
      <c r="C91" s="344"/>
      <c r="D91" s="405"/>
    </row>
    <row r="92" spans="1:4" s="30" customFormat="1" x14ac:dyDescent="0.25">
      <c r="A92" s="273">
        <v>6</v>
      </c>
      <c r="B92" s="337" t="s">
        <v>38</v>
      </c>
      <c r="C92" s="355"/>
      <c r="D92" s="169" t="s">
        <v>10</v>
      </c>
    </row>
    <row r="93" spans="1:4" s="30" customFormat="1" x14ac:dyDescent="0.25">
      <c r="A93" s="170" t="s">
        <v>0</v>
      </c>
      <c r="B93" s="278" t="s">
        <v>39</v>
      </c>
      <c r="C93" s="216">
        <v>0.05</v>
      </c>
      <c r="D93" s="211">
        <f>D90*C93</f>
        <v>1925.84</v>
      </c>
    </row>
    <row r="94" spans="1:4" s="30" customFormat="1" x14ac:dyDescent="0.25">
      <c r="A94" s="170" t="s">
        <v>2</v>
      </c>
      <c r="B94" s="278" t="s">
        <v>40</v>
      </c>
      <c r="C94" s="216">
        <v>0.1</v>
      </c>
      <c r="D94" s="211">
        <f>C94*(D90+D93)</f>
        <v>4044.25</v>
      </c>
    </row>
    <row r="95" spans="1:4" s="30" customFormat="1" ht="30" x14ac:dyDescent="0.25">
      <c r="A95" s="170"/>
      <c r="B95" s="278" t="s">
        <v>47</v>
      </c>
      <c r="C95" s="172">
        <f>1-C102</f>
        <v>0.85750000000000004</v>
      </c>
      <c r="D95" s="211">
        <f>D90+D93+D94</f>
        <v>44486.79</v>
      </c>
    </row>
    <row r="96" spans="1:4" s="30" customFormat="1" x14ac:dyDescent="0.25">
      <c r="A96" s="170"/>
      <c r="B96" s="272"/>
      <c r="C96" s="40"/>
      <c r="D96" s="237">
        <f>+D95/C95</f>
        <v>51879.64</v>
      </c>
    </row>
    <row r="97" spans="1:4" s="30" customFormat="1" x14ac:dyDescent="0.25">
      <c r="A97" s="170" t="s">
        <v>3</v>
      </c>
      <c r="B97" s="272" t="s">
        <v>41</v>
      </c>
      <c r="C97" s="217">
        <f>C99+C100+C101</f>
        <v>0.14249999999999999</v>
      </c>
      <c r="D97" s="237"/>
    </row>
    <row r="98" spans="1:4" s="30" customFormat="1" x14ac:dyDescent="0.25">
      <c r="A98" s="170" t="s">
        <v>284</v>
      </c>
      <c r="B98" s="272" t="s">
        <v>280</v>
      </c>
      <c r="C98" s="254">
        <f>C99+C100</f>
        <v>9.2499999999999999E-2</v>
      </c>
      <c r="D98" s="211"/>
    </row>
    <row r="99" spans="1:4" s="30" customFormat="1" x14ac:dyDescent="0.25">
      <c r="A99" s="170" t="s">
        <v>285</v>
      </c>
      <c r="B99" s="278" t="s">
        <v>281</v>
      </c>
      <c r="C99" s="172">
        <v>1.6500000000000001E-2</v>
      </c>
      <c r="D99" s="211">
        <f>+D96*C99</f>
        <v>856.01</v>
      </c>
    </row>
    <row r="100" spans="1:4" s="30" customFormat="1" x14ac:dyDescent="0.25">
      <c r="A100" s="170" t="s">
        <v>286</v>
      </c>
      <c r="B100" s="278" t="s">
        <v>282</v>
      </c>
      <c r="C100" s="172">
        <v>7.5999999999999998E-2</v>
      </c>
      <c r="D100" s="211">
        <f>+D96*C100</f>
        <v>3942.85</v>
      </c>
    </row>
    <row r="101" spans="1:4" s="30" customFormat="1" x14ac:dyDescent="0.25">
      <c r="A101" s="170" t="s">
        <v>287</v>
      </c>
      <c r="B101" s="278" t="s">
        <v>283</v>
      </c>
      <c r="C101" s="172">
        <v>0.05</v>
      </c>
      <c r="D101" s="211">
        <f>+D96*C101</f>
        <v>2593.98</v>
      </c>
    </row>
    <row r="102" spans="1:4" s="30" customFormat="1" x14ac:dyDescent="0.25">
      <c r="A102" s="273"/>
      <c r="B102" s="220" t="s">
        <v>42</v>
      </c>
      <c r="C102" s="221">
        <f>C97</f>
        <v>0.14249999999999999</v>
      </c>
      <c r="D102" s="223">
        <f>SUM(D99:D101)</f>
        <v>7392.84</v>
      </c>
    </row>
    <row r="103" spans="1:4" s="30" customFormat="1" ht="15.75" customHeight="1" x14ac:dyDescent="0.25">
      <c r="A103" s="361" t="s">
        <v>43</v>
      </c>
      <c r="B103" s="362"/>
      <c r="C103" s="362"/>
      <c r="D103" s="59">
        <f>+D93+D94+D102</f>
        <v>13362.93</v>
      </c>
    </row>
    <row r="104" spans="1:4" s="30" customFormat="1" ht="15.75" customHeight="1" x14ac:dyDescent="0.25">
      <c r="A104" s="367" t="s">
        <v>44</v>
      </c>
      <c r="B104" s="368"/>
      <c r="C104" s="368"/>
      <c r="D104" s="225" t="s">
        <v>10</v>
      </c>
    </row>
    <row r="105" spans="1:4" s="30" customFormat="1" x14ac:dyDescent="0.25">
      <c r="A105" s="170" t="s">
        <v>0</v>
      </c>
      <c r="B105" s="369" t="s">
        <v>45</v>
      </c>
      <c r="C105" s="369"/>
      <c r="D105" s="211">
        <f>D25</f>
        <v>21486.63</v>
      </c>
    </row>
    <row r="106" spans="1:4" s="30" customFormat="1" x14ac:dyDescent="0.25">
      <c r="A106" s="170" t="s">
        <v>2</v>
      </c>
      <c r="B106" s="369" t="s">
        <v>152</v>
      </c>
      <c r="C106" s="369"/>
      <c r="D106" s="211">
        <f>D53</f>
        <v>13621.22</v>
      </c>
    </row>
    <row r="107" spans="1:4" s="30" customFormat="1" x14ac:dyDescent="0.25">
      <c r="A107" s="170" t="s">
        <v>3</v>
      </c>
      <c r="B107" s="369" t="s">
        <v>150</v>
      </c>
      <c r="C107" s="369"/>
      <c r="D107" s="211">
        <f>D61</f>
        <v>1549.19</v>
      </c>
    </row>
    <row r="108" spans="1:4" s="30" customFormat="1" x14ac:dyDescent="0.25">
      <c r="A108" s="170" t="s">
        <v>5</v>
      </c>
      <c r="B108" s="369" t="s">
        <v>143</v>
      </c>
      <c r="C108" s="369"/>
      <c r="D108" s="211">
        <f>D82</f>
        <v>1020.01</v>
      </c>
    </row>
    <row r="109" spans="1:4" s="30" customFormat="1" x14ac:dyDescent="0.25">
      <c r="A109" s="170" t="s">
        <v>20</v>
      </c>
      <c r="B109" s="369" t="s">
        <v>151</v>
      </c>
      <c r="C109" s="369"/>
      <c r="D109" s="211">
        <f>D89</f>
        <v>839.65</v>
      </c>
    </row>
    <row r="110" spans="1:4" s="30" customFormat="1" ht="15.75" customHeight="1" x14ac:dyDescent="0.25">
      <c r="A110" s="370" t="s">
        <v>153</v>
      </c>
      <c r="B110" s="364"/>
      <c r="C110" s="364"/>
      <c r="D110" s="223">
        <f>SUM(D105:D109)</f>
        <v>38516.699999999997</v>
      </c>
    </row>
    <row r="111" spans="1:4" s="30" customFormat="1" x14ac:dyDescent="0.25">
      <c r="A111" s="170" t="s">
        <v>21</v>
      </c>
      <c r="B111" s="369" t="s">
        <v>154</v>
      </c>
      <c r="C111" s="369"/>
      <c r="D111" s="211">
        <f>+D103</f>
        <v>13362.93</v>
      </c>
    </row>
    <row r="112" spans="1:4" s="30" customFormat="1" ht="16.5" customHeight="1" thickBot="1" x14ac:dyDescent="0.3">
      <c r="A112" s="353" t="s">
        <v>46</v>
      </c>
      <c r="B112" s="354"/>
      <c r="C112" s="354"/>
      <c r="D112" s="241">
        <f>+D110+D111</f>
        <v>51879.63</v>
      </c>
    </row>
    <row r="113" spans="1:4" ht="16.5" thickBot="1" x14ac:dyDescent="0.3">
      <c r="A113" s="412" t="s">
        <v>251</v>
      </c>
      <c r="B113" s="413"/>
      <c r="C113" s="413"/>
      <c r="D113" s="414"/>
    </row>
    <row r="114" spans="1:4" ht="15.75" customHeight="1" x14ac:dyDescent="0.25">
      <c r="A114" s="415" t="s">
        <v>290</v>
      </c>
      <c r="B114" s="416"/>
      <c r="C114" s="416"/>
      <c r="D114" s="417"/>
    </row>
    <row r="115" spans="1:4" x14ac:dyDescent="0.25">
      <c r="A115" s="418"/>
      <c r="B115" s="419"/>
      <c r="C115" s="419"/>
      <c r="D115" s="420"/>
    </row>
    <row r="116" spans="1:4" x14ac:dyDescent="0.25">
      <c r="A116" s="418"/>
      <c r="B116" s="419"/>
      <c r="C116" s="419"/>
      <c r="D116" s="420"/>
    </row>
    <row r="117" spans="1:4" x14ac:dyDescent="0.25">
      <c r="A117" s="418"/>
      <c r="B117" s="419"/>
      <c r="C117" s="419"/>
      <c r="D117" s="420"/>
    </row>
    <row r="118" spans="1:4" x14ac:dyDescent="0.25">
      <c r="A118" s="418"/>
      <c r="B118" s="419"/>
      <c r="C118" s="419"/>
      <c r="D118" s="420"/>
    </row>
    <row r="119" spans="1:4" x14ac:dyDescent="0.25">
      <c r="A119" s="418"/>
      <c r="B119" s="419"/>
      <c r="C119" s="419"/>
      <c r="D119" s="420"/>
    </row>
    <row r="120" spans="1:4" x14ac:dyDescent="0.25">
      <c r="A120" s="418"/>
      <c r="B120" s="419"/>
      <c r="C120" s="419"/>
      <c r="D120" s="420"/>
    </row>
    <row r="121" spans="1:4" x14ac:dyDescent="0.25">
      <c r="A121" s="418"/>
      <c r="B121" s="419"/>
      <c r="C121" s="419"/>
      <c r="D121" s="420"/>
    </row>
    <row r="122" spans="1:4" ht="16.5" thickBot="1" x14ac:dyDescent="0.3">
      <c r="A122" s="421"/>
      <c r="B122" s="422"/>
      <c r="C122" s="422"/>
      <c r="D122" s="423"/>
    </row>
    <row r="124" spans="1:4" x14ac:dyDescent="0.25">
      <c r="B124" s="28"/>
    </row>
  </sheetData>
  <mergeCells count="63">
    <mergeCell ref="C6:D6"/>
    <mergeCell ref="A1:D1"/>
    <mergeCell ref="A2:D2"/>
    <mergeCell ref="A3:D3"/>
    <mergeCell ref="C4:D4"/>
    <mergeCell ref="C5:D5"/>
    <mergeCell ref="C7:D7"/>
    <mergeCell ref="A8:D8"/>
    <mergeCell ref="A9:D9"/>
    <mergeCell ref="A10:D10"/>
    <mergeCell ref="A11:C11"/>
    <mergeCell ref="B32:C32"/>
    <mergeCell ref="C12:D12"/>
    <mergeCell ref="C13:D13"/>
    <mergeCell ref="C14:D14"/>
    <mergeCell ref="C15:D15"/>
    <mergeCell ref="A16:C16"/>
    <mergeCell ref="B17:C17"/>
    <mergeCell ref="A25:C25"/>
    <mergeCell ref="A26:C26"/>
    <mergeCell ref="B27:C27"/>
    <mergeCell ref="A30:B30"/>
    <mergeCell ref="A31:D31"/>
    <mergeCell ref="B73:C73"/>
    <mergeCell ref="A41:B41"/>
    <mergeCell ref="B42:C42"/>
    <mergeCell ref="A48:C48"/>
    <mergeCell ref="A49:D49"/>
    <mergeCell ref="A53:C53"/>
    <mergeCell ref="A54:D54"/>
    <mergeCell ref="B55:C55"/>
    <mergeCell ref="A62:D62"/>
    <mergeCell ref="B63:C63"/>
    <mergeCell ref="A71:B71"/>
    <mergeCell ref="A61:B61"/>
    <mergeCell ref="B88:C88"/>
    <mergeCell ref="A75:B75"/>
    <mergeCell ref="A76:D76"/>
    <mergeCell ref="A77:D77"/>
    <mergeCell ref="B78:C78"/>
    <mergeCell ref="A81:B81"/>
    <mergeCell ref="A82:C82"/>
    <mergeCell ref="A83:D83"/>
    <mergeCell ref="B84:C84"/>
    <mergeCell ref="B85:C85"/>
    <mergeCell ref="B86:C86"/>
    <mergeCell ref="B87:C87"/>
    <mergeCell ref="B109:C109"/>
    <mergeCell ref="A89:C89"/>
    <mergeCell ref="A90:C90"/>
    <mergeCell ref="A91:D91"/>
    <mergeCell ref="B92:C92"/>
    <mergeCell ref="A103:C103"/>
    <mergeCell ref="A104:C104"/>
    <mergeCell ref="B105:C105"/>
    <mergeCell ref="B106:C106"/>
    <mergeCell ref="B107:C107"/>
    <mergeCell ref="B108:C108"/>
    <mergeCell ref="A110:C110"/>
    <mergeCell ref="B111:C111"/>
    <mergeCell ref="A112:C112"/>
    <mergeCell ref="A113:D113"/>
    <mergeCell ref="A114:D122"/>
  </mergeCells>
  <hyperlinks>
    <hyperlink ref="B38" r:id="rId1" display="08 - Sebrae 0,3% ou 0,6% - IN nº 03, MPS/SRP/2005, Anexo II e III ver código da Tabela" xr:uid="{00000000-0004-0000-0A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22"/>
  <sheetViews>
    <sheetView view="pageBreakPreview" zoomScaleNormal="100" zoomScaleSheetLayoutView="100" workbookViewId="0">
      <selection activeCell="A9" sqref="A9:H22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426" t="s">
        <v>216</v>
      </c>
      <c r="B1" s="427"/>
      <c r="C1" s="427"/>
      <c r="D1" s="427"/>
      <c r="E1" s="427"/>
      <c r="F1" s="427"/>
      <c r="G1" s="427"/>
      <c r="H1" s="428"/>
    </row>
    <row r="2" spans="1:8" ht="15" customHeight="1" x14ac:dyDescent="0.25">
      <c r="A2" s="45" t="s">
        <v>159</v>
      </c>
      <c r="B2" s="43" t="s">
        <v>178</v>
      </c>
      <c r="C2" s="43" t="s">
        <v>256</v>
      </c>
      <c r="D2" s="43" t="s">
        <v>161</v>
      </c>
      <c r="E2" s="43" t="s">
        <v>161</v>
      </c>
      <c r="F2" s="43" t="s">
        <v>162</v>
      </c>
      <c r="G2" s="43" t="s">
        <v>212</v>
      </c>
      <c r="H2" s="75" t="s">
        <v>165</v>
      </c>
    </row>
    <row r="3" spans="1:8" ht="15" customHeight="1" x14ac:dyDescent="0.25">
      <c r="A3" s="76">
        <v>1</v>
      </c>
      <c r="B3" s="69" t="s">
        <v>257</v>
      </c>
      <c r="C3" s="69" t="s">
        <v>258</v>
      </c>
      <c r="D3" s="69">
        <v>2</v>
      </c>
      <c r="E3" s="69">
        <f>D3*2</f>
        <v>4</v>
      </c>
      <c r="F3" s="70">
        <v>42.7</v>
      </c>
      <c r="G3" s="71">
        <f>F3*E3</f>
        <v>170.8</v>
      </c>
      <c r="H3" s="77">
        <f>G3/12</f>
        <v>14.23</v>
      </c>
    </row>
    <row r="4" spans="1:8" ht="15" customHeight="1" x14ac:dyDescent="0.25">
      <c r="A4" s="76">
        <f>A3+1</f>
        <v>2</v>
      </c>
      <c r="B4" s="72" t="s">
        <v>259</v>
      </c>
      <c r="C4" s="69" t="s">
        <v>258</v>
      </c>
      <c r="D4" s="73">
        <v>2</v>
      </c>
      <c r="E4" s="69">
        <f t="shared" ref="E4:E6" si="0">D4*2</f>
        <v>4</v>
      </c>
      <c r="F4" s="71">
        <v>38.89</v>
      </c>
      <c r="G4" s="71">
        <f>F4*E4</f>
        <v>155.56</v>
      </c>
      <c r="H4" s="77">
        <f>G4/12</f>
        <v>12.96</v>
      </c>
    </row>
    <row r="5" spans="1:8" ht="15" customHeight="1" x14ac:dyDescent="0.25">
      <c r="A5" s="76">
        <f>A4+1</f>
        <v>3</v>
      </c>
      <c r="B5" s="72" t="s">
        <v>260</v>
      </c>
      <c r="C5" s="69" t="s">
        <v>258</v>
      </c>
      <c r="D5" s="73">
        <v>1</v>
      </c>
      <c r="E5" s="69">
        <f t="shared" si="0"/>
        <v>2</v>
      </c>
      <c r="F5" s="71">
        <v>1.29</v>
      </c>
      <c r="G5" s="71">
        <f>F5*E5</f>
        <v>2.58</v>
      </c>
      <c r="H5" s="77">
        <f>G5/12</f>
        <v>0.22</v>
      </c>
    </row>
    <row r="6" spans="1:8" ht="15" customHeight="1" thickBot="1" x14ac:dyDescent="0.3">
      <c r="A6" s="95">
        <v>4</v>
      </c>
      <c r="B6" s="96" t="s">
        <v>261</v>
      </c>
      <c r="C6" s="97" t="s">
        <v>258</v>
      </c>
      <c r="D6" s="98">
        <v>1</v>
      </c>
      <c r="E6" s="97">
        <f t="shared" si="0"/>
        <v>2</v>
      </c>
      <c r="F6" s="99">
        <v>39.1</v>
      </c>
      <c r="G6" s="99">
        <f>F6*E6</f>
        <v>78.2</v>
      </c>
      <c r="H6" s="100">
        <f>G6/12</f>
        <v>6.52</v>
      </c>
    </row>
    <row r="7" spans="1:8" ht="15" customHeight="1" thickBot="1" x14ac:dyDescent="0.3">
      <c r="A7" s="429" t="s">
        <v>217</v>
      </c>
      <c r="B7" s="430"/>
      <c r="C7" s="430"/>
      <c r="D7" s="430"/>
      <c r="E7" s="430"/>
      <c r="F7" s="431"/>
      <c r="G7" s="431"/>
      <c r="H7" s="94">
        <f>SUM(H3:H6)</f>
        <v>33.93</v>
      </c>
    </row>
    <row r="8" spans="1:8" ht="15.75" thickBot="1" x14ac:dyDescent="0.3">
      <c r="A8" s="432" t="s">
        <v>232</v>
      </c>
      <c r="B8" s="433"/>
      <c r="C8" s="433"/>
      <c r="D8" s="433"/>
      <c r="E8" s="433"/>
      <c r="F8" s="433"/>
      <c r="G8" s="433"/>
      <c r="H8" s="434"/>
    </row>
    <row r="9" spans="1:8" ht="15" customHeight="1" x14ac:dyDescent="0.25">
      <c r="A9" s="435" t="s">
        <v>302</v>
      </c>
      <c r="B9" s="436"/>
      <c r="C9" s="436"/>
      <c r="D9" s="436"/>
      <c r="E9" s="436"/>
      <c r="F9" s="436"/>
      <c r="G9" s="436"/>
      <c r="H9" s="437"/>
    </row>
    <row r="10" spans="1:8" x14ac:dyDescent="0.25">
      <c r="A10" s="438"/>
      <c r="B10" s="439"/>
      <c r="C10" s="439"/>
      <c r="D10" s="439"/>
      <c r="E10" s="439"/>
      <c r="F10" s="439"/>
      <c r="G10" s="439"/>
      <c r="H10" s="440"/>
    </row>
    <row r="11" spans="1:8" x14ac:dyDescent="0.25">
      <c r="A11" s="438"/>
      <c r="B11" s="439"/>
      <c r="C11" s="439"/>
      <c r="D11" s="439"/>
      <c r="E11" s="439"/>
      <c r="F11" s="439"/>
      <c r="G11" s="439"/>
      <c r="H11" s="440"/>
    </row>
    <row r="12" spans="1:8" x14ac:dyDescent="0.25">
      <c r="A12" s="438"/>
      <c r="B12" s="439"/>
      <c r="C12" s="439"/>
      <c r="D12" s="439"/>
      <c r="E12" s="439"/>
      <c r="F12" s="439"/>
      <c r="G12" s="439"/>
      <c r="H12" s="440"/>
    </row>
    <row r="13" spans="1:8" x14ac:dyDescent="0.25">
      <c r="A13" s="438"/>
      <c r="B13" s="439"/>
      <c r="C13" s="439"/>
      <c r="D13" s="439"/>
      <c r="E13" s="439"/>
      <c r="F13" s="439"/>
      <c r="G13" s="439"/>
      <c r="H13" s="440"/>
    </row>
    <row r="14" spans="1:8" x14ac:dyDescent="0.25">
      <c r="A14" s="438"/>
      <c r="B14" s="439"/>
      <c r="C14" s="439"/>
      <c r="D14" s="439"/>
      <c r="E14" s="439"/>
      <c r="F14" s="439"/>
      <c r="G14" s="439"/>
      <c r="H14" s="440"/>
    </row>
    <row r="15" spans="1:8" x14ac:dyDescent="0.25">
      <c r="A15" s="438"/>
      <c r="B15" s="439"/>
      <c r="C15" s="439"/>
      <c r="D15" s="439"/>
      <c r="E15" s="439"/>
      <c r="F15" s="439"/>
      <c r="G15" s="439"/>
      <c r="H15" s="440"/>
    </row>
    <row r="16" spans="1:8" x14ac:dyDescent="0.25">
      <c r="A16" s="438"/>
      <c r="B16" s="439"/>
      <c r="C16" s="439"/>
      <c r="D16" s="439"/>
      <c r="E16" s="439"/>
      <c r="F16" s="439"/>
      <c r="G16" s="439"/>
      <c r="H16" s="440"/>
    </row>
    <row r="17" spans="1:17" x14ac:dyDescent="0.25">
      <c r="A17" s="438"/>
      <c r="B17" s="439"/>
      <c r="C17" s="439"/>
      <c r="D17" s="439"/>
      <c r="E17" s="439"/>
      <c r="F17" s="439"/>
      <c r="G17" s="439"/>
      <c r="H17" s="440"/>
    </row>
    <row r="18" spans="1:17" x14ac:dyDescent="0.25">
      <c r="A18" s="438"/>
      <c r="B18" s="439"/>
      <c r="C18" s="439"/>
      <c r="D18" s="439"/>
      <c r="E18" s="439"/>
      <c r="F18" s="439"/>
      <c r="G18" s="439"/>
      <c r="H18" s="440"/>
    </row>
    <row r="19" spans="1:17" x14ac:dyDescent="0.25">
      <c r="A19" s="438"/>
      <c r="B19" s="439"/>
      <c r="C19" s="439"/>
      <c r="D19" s="439"/>
      <c r="E19" s="439"/>
      <c r="F19" s="439"/>
      <c r="G19" s="439"/>
      <c r="H19" s="440"/>
    </row>
    <row r="20" spans="1:17" x14ac:dyDescent="0.25">
      <c r="A20" s="438"/>
      <c r="B20" s="439"/>
      <c r="C20" s="439"/>
      <c r="D20" s="439"/>
      <c r="E20" s="439"/>
      <c r="F20" s="439"/>
      <c r="G20" s="439"/>
      <c r="H20" s="440"/>
    </row>
    <row r="21" spans="1:17" x14ac:dyDescent="0.25">
      <c r="A21" s="438"/>
      <c r="B21" s="439"/>
      <c r="C21" s="439"/>
      <c r="D21" s="439"/>
      <c r="E21" s="439"/>
      <c r="F21" s="439"/>
      <c r="G21" s="439"/>
      <c r="H21" s="440"/>
    </row>
    <row r="22" spans="1:17" ht="15.75" thickBot="1" x14ac:dyDescent="0.3">
      <c r="A22" s="441"/>
      <c r="B22" s="442"/>
      <c r="C22" s="442"/>
      <c r="D22" s="442"/>
      <c r="E22" s="442"/>
      <c r="F22" s="442"/>
      <c r="G22" s="442"/>
      <c r="H22" s="443"/>
      <c r="Q22" s="74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0"/>
  <sheetViews>
    <sheetView view="pageBreakPreview" topLeftCell="A13" zoomScaleNormal="100" zoomScaleSheetLayoutView="100" workbookViewId="0">
      <selection activeCell="H20" sqref="H20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59" t="s">
        <v>233</v>
      </c>
      <c r="B1" s="460"/>
      <c r="C1" s="460"/>
      <c r="D1" s="460"/>
      <c r="E1" s="460"/>
      <c r="F1" s="460"/>
      <c r="G1" s="460"/>
      <c r="H1" s="461"/>
    </row>
    <row r="2" spans="1:8" ht="15" customHeight="1" thickBot="1" x14ac:dyDescent="0.3">
      <c r="A2" s="462" t="s">
        <v>234</v>
      </c>
      <c r="B2" s="463"/>
      <c r="C2" s="463"/>
      <c r="D2" s="463"/>
      <c r="E2" s="463"/>
      <c r="F2" s="463"/>
      <c r="G2" s="463"/>
      <c r="H2" s="464"/>
    </row>
    <row r="3" spans="1:8" ht="30" customHeight="1" thickBot="1" x14ac:dyDescent="0.3">
      <c r="A3" s="89" t="s">
        <v>159</v>
      </c>
      <c r="B3" s="90" t="s">
        <v>235</v>
      </c>
      <c r="C3" s="90" t="s">
        <v>160</v>
      </c>
      <c r="D3" s="90" t="s">
        <v>273</v>
      </c>
      <c r="E3" s="90" t="s">
        <v>274</v>
      </c>
      <c r="F3" s="90" t="s">
        <v>162</v>
      </c>
      <c r="G3" s="90" t="s">
        <v>212</v>
      </c>
      <c r="H3" s="91" t="s">
        <v>165</v>
      </c>
    </row>
    <row r="4" spans="1:8" ht="249.95" customHeight="1" thickBot="1" x14ac:dyDescent="0.3">
      <c r="A4" s="66">
        <v>1</v>
      </c>
      <c r="B4" s="78" t="s">
        <v>263</v>
      </c>
      <c r="C4" s="51" t="s">
        <v>160</v>
      </c>
      <c r="D4" s="51">
        <v>1</v>
      </c>
      <c r="E4" s="52">
        <f>D4</f>
        <v>1</v>
      </c>
      <c r="F4" s="53">
        <f>(Equipamentos!F8*1%)</f>
        <v>3039</v>
      </c>
      <c r="G4" s="53">
        <f>F4*E4</f>
        <v>3039</v>
      </c>
      <c r="H4" s="54">
        <f>G4/12</f>
        <v>253.25</v>
      </c>
    </row>
    <row r="5" spans="1:8" ht="30" customHeight="1" thickBot="1" x14ac:dyDescent="0.3">
      <c r="A5" s="89" t="s">
        <v>159</v>
      </c>
      <c r="B5" s="90" t="s">
        <v>235</v>
      </c>
      <c r="C5" s="90" t="s">
        <v>160</v>
      </c>
      <c r="D5" s="90" t="s">
        <v>273</v>
      </c>
      <c r="E5" s="90" t="s">
        <v>274</v>
      </c>
      <c r="F5" s="90" t="s">
        <v>275</v>
      </c>
      <c r="G5" s="90" t="s">
        <v>212</v>
      </c>
      <c r="H5" s="91" t="s">
        <v>165</v>
      </c>
    </row>
    <row r="6" spans="1:8" ht="30" customHeight="1" x14ac:dyDescent="0.25">
      <c r="A6" s="92">
        <v>2</v>
      </c>
      <c r="B6" s="262" t="s">
        <v>276</v>
      </c>
      <c r="C6" s="83" t="s">
        <v>277</v>
      </c>
      <c r="D6" s="93">
        <v>3.5</v>
      </c>
      <c r="E6" s="93">
        <f>D6*12</f>
        <v>42</v>
      </c>
      <c r="F6" s="85">
        <v>27.66</v>
      </c>
      <c r="G6" s="85">
        <f>F6*E6</f>
        <v>1161.72</v>
      </c>
      <c r="H6" s="86">
        <f>G6/12</f>
        <v>96.81</v>
      </c>
    </row>
    <row r="7" spans="1:8" ht="30" customHeight="1" thickBot="1" x14ac:dyDescent="0.3">
      <c r="A7" s="87">
        <v>3</v>
      </c>
      <c r="B7" s="263" t="s">
        <v>278</v>
      </c>
      <c r="C7" s="61" t="s">
        <v>277</v>
      </c>
      <c r="D7" s="88">
        <v>3.5</v>
      </c>
      <c r="E7" s="88">
        <f>D7*12</f>
        <v>42</v>
      </c>
      <c r="F7" s="64">
        <v>34.79</v>
      </c>
      <c r="G7" s="64">
        <f>F7*E7</f>
        <v>1461.18</v>
      </c>
      <c r="H7" s="65">
        <f>G7/12</f>
        <v>121.77</v>
      </c>
    </row>
    <row r="8" spans="1:8" ht="15" customHeight="1" thickBot="1" x14ac:dyDescent="0.3">
      <c r="A8" s="459"/>
      <c r="B8" s="460"/>
      <c r="C8" s="460"/>
      <c r="D8" s="460"/>
      <c r="E8" s="460"/>
      <c r="F8" s="460"/>
      <c r="G8" s="461"/>
      <c r="H8" s="79">
        <f>SUM(H4:H7)</f>
        <v>471.83</v>
      </c>
    </row>
    <row r="9" spans="1:8" ht="15" customHeight="1" thickBot="1" x14ac:dyDescent="0.3">
      <c r="A9" s="465"/>
      <c r="B9" s="466"/>
      <c r="C9" s="466"/>
      <c r="D9" s="466"/>
      <c r="E9" s="466"/>
      <c r="F9" s="466"/>
      <c r="G9" s="466"/>
      <c r="H9" s="467"/>
    </row>
    <row r="10" spans="1:8" ht="15" customHeight="1" thickBot="1" x14ac:dyDescent="0.3">
      <c r="A10" s="462" t="s">
        <v>236</v>
      </c>
      <c r="B10" s="463"/>
      <c r="C10" s="463"/>
      <c r="D10" s="463"/>
      <c r="E10" s="463"/>
      <c r="F10" s="463"/>
      <c r="G10" s="463"/>
      <c r="H10" s="464"/>
    </row>
    <row r="11" spans="1:8" ht="30" customHeight="1" thickBot="1" x14ac:dyDescent="0.3">
      <c r="A11" s="89" t="s">
        <v>159</v>
      </c>
      <c r="B11" s="90" t="s">
        <v>235</v>
      </c>
      <c r="C11" s="90" t="s">
        <v>160</v>
      </c>
      <c r="D11" s="90" t="s">
        <v>273</v>
      </c>
      <c r="E11" s="90" t="s">
        <v>274</v>
      </c>
      <c r="F11" s="90" t="s">
        <v>162</v>
      </c>
      <c r="G11" s="90" t="s">
        <v>212</v>
      </c>
      <c r="H11" s="91" t="s">
        <v>165</v>
      </c>
    </row>
    <row r="12" spans="1:8" ht="350.1" customHeight="1" thickBot="1" x14ac:dyDescent="0.3">
      <c r="A12" s="81">
        <v>1</v>
      </c>
      <c r="B12" s="82" t="s">
        <v>262</v>
      </c>
      <c r="C12" s="83" t="s">
        <v>160</v>
      </c>
      <c r="D12" s="83">
        <v>1</v>
      </c>
      <c r="E12" s="84">
        <f>D12</f>
        <v>1</v>
      </c>
      <c r="F12" s="85">
        <f>(Equipamentos!F16*1%)</f>
        <v>3150</v>
      </c>
      <c r="G12" s="85">
        <f>F12*E12</f>
        <v>3150</v>
      </c>
      <c r="H12" s="86">
        <f>G12/12</f>
        <v>262.5</v>
      </c>
    </row>
    <row r="13" spans="1:8" ht="30" customHeight="1" thickBot="1" x14ac:dyDescent="0.3">
      <c r="A13" s="89" t="s">
        <v>159</v>
      </c>
      <c r="B13" s="90" t="s">
        <v>235</v>
      </c>
      <c r="C13" s="90" t="s">
        <v>160</v>
      </c>
      <c r="D13" s="90" t="s">
        <v>273</v>
      </c>
      <c r="E13" s="90" t="s">
        <v>274</v>
      </c>
      <c r="F13" s="90" t="s">
        <v>275</v>
      </c>
      <c r="G13" s="90" t="s">
        <v>212</v>
      </c>
      <c r="H13" s="91" t="s">
        <v>165</v>
      </c>
    </row>
    <row r="14" spans="1:8" ht="30" customHeight="1" x14ac:dyDescent="0.25">
      <c r="A14" s="92">
        <v>2</v>
      </c>
      <c r="B14" s="262" t="s">
        <v>276</v>
      </c>
      <c r="C14" s="83" t="s">
        <v>277</v>
      </c>
      <c r="D14" s="93">
        <v>3.5</v>
      </c>
      <c r="E14" s="93">
        <f>D14*12</f>
        <v>42</v>
      </c>
      <c r="F14" s="85">
        <v>27.66</v>
      </c>
      <c r="G14" s="85">
        <f>F14*E14</f>
        <v>1161.72</v>
      </c>
      <c r="H14" s="86">
        <f>G14/12</f>
        <v>96.81</v>
      </c>
    </row>
    <row r="15" spans="1:8" ht="30" customHeight="1" thickBot="1" x14ac:dyDescent="0.3">
      <c r="A15" s="87">
        <v>3</v>
      </c>
      <c r="B15" s="263" t="s">
        <v>278</v>
      </c>
      <c r="C15" s="61" t="s">
        <v>277</v>
      </c>
      <c r="D15" s="88">
        <v>3.5</v>
      </c>
      <c r="E15" s="88">
        <f>D15*12</f>
        <v>42</v>
      </c>
      <c r="F15" s="64">
        <v>34.79</v>
      </c>
      <c r="G15" s="64">
        <f>F15*E15</f>
        <v>1461.18</v>
      </c>
      <c r="H15" s="65">
        <f>G15/12</f>
        <v>121.77</v>
      </c>
    </row>
    <row r="16" spans="1:8" ht="15" customHeight="1" thickBot="1" x14ac:dyDescent="0.3">
      <c r="A16" s="456"/>
      <c r="B16" s="457"/>
      <c r="C16" s="457"/>
      <c r="D16" s="457"/>
      <c r="E16" s="457"/>
      <c r="F16" s="457"/>
      <c r="G16" s="458"/>
      <c r="H16" s="80">
        <f>SUM(H12:H15)</f>
        <v>481.08</v>
      </c>
    </row>
    <row r="17" spans="1:8" ht="15.75" thickBot="1" x14ac:dyDescent="0.3">
      <c r="A17" s="468"/>
      <c r="B17" s="469"/>
      <c r="C17" s="469"/>
      <c r="D17" s="469"/>
      <c r="E17" s="469"/>
      <c r="F17" s="469"/>
      <c r="G17" s="469"/>
      <c r="H17" s="470"/>
    </row>
    <row r="18" spans="1:8" ht="15.75" thickBot="1" x14ac:dyDescent="0.3">
      <c r="A18" s="471" t="s">
        <v>308</v>
      </c>
      <c r="B18" s="472"/>
      <c r="C18" s="472"/>
      <c r="D18" s="472"/>
      <c r="E18" s="472"/>
      <c r="F18" s="472"/>
      <c r="G18" s="473"/>
      <c r="H18" s="41">
        <f>H8/4</f>
        <v>117.96</v>
      </c>
    </row>
    <row r="19" spans="1:8" ht="15.75" thickBot="1" x14ac:dyDescent="0.3">
      <c r="A19" s="471" t="s">
        <v>224</v>
      </c>
      <c r="B19" s="472"/>
      <c r="C19" s="472"/>
      <c r="D19" s="472"/>
      <c r="E19" s="472"/>
      <c r="F19" s="472"/>
      <c r="G19" s="473"/>
      <c r="H19" s="41">
        <f>H8/4</f>
        <v>117.96</v>
      </c>
    </row>
    <row r="20" spans="1:8" ht="15.75" thickBot="1" x14ac:dyDescent="0.3">
      <c r="A20" s="471" t="s">
        <v>225</v>
      </c>
      <c r="B20" s="472"/>
      <c r="C20" s="472"/>
      <c r="D20" s="472"/>
      <c r="E20" s="472"/>
      <c r="F20" s="472"/>
      <c r="G20" s="473"/>
      <c r="H20" s="41">
        <f>H8/8</f>
        <v>58.98</v>
      </c>
    </row>
    <row r="21" spans="1:8" ht="15.75" thickBot="1" x14ac:dyDescent="0.3">
      <c r="A21" s="471" t="s">
        <v>255</v>
      </c>
      <c r="B21" s="472"/>
      <c r="C21" s="472"/>
      <c r="D21" s="472"/>
      <c r="E21" s="472"/>
      <c r="F21" s="472"/>
      <c r="G21" s="473"/>
      <c r="H21" s="41">
        <f>H16/12</f>
        <v>40.090000000000003</v>
      </c>
    </row>
    <row r="22" spans="1:8" ht="15.75" thickBot="1" x14ac:dyDescent="0.3">
      <c r="A22" s="453" t="s">
        <v>232</v>
      </c>
      <c r="B22" s="454"/>
      <c r="C22" s="454"/>
      <c r="D22" s="454"/>
      <c r="E22" s="454"/>
      <c r="F22" s="454"/>
      <c r="G22" s="454"/>
      <c r="H22" s="455"/>
    </row>
    <row r="23" spans="1:8" ht="15" customHeight="1" x14ac:dyDescent="0.25">
      <c r="A23" s="444" t="s">
        <v>270</v>
      </c>
      <c r="B23" s="445"/>
      <c r="C23" s="445"/>
      <c r="D23" s="445"/>
      <c r="E23" s="445"/>
      <c r="F23" s="445"/>
      <c r="G23" s="445"/>
      <c r="H23" s="446"/>
    </row>
    <row r="24" spans="1:8" x14ac:dyDescent="0.25">
      <c r="A24" s="447"/>
      <c r="B24" s="448"/>
      <c r="C24" s="448"/>
      <c r="D24" s="448"/>
      <c r="E24" s="448"/>
      <c r="F24" s="448"/>
      <c r="G24" s="448"/>
      <c r="H24" s="449"/>
    </row>
    <row r="25" spans="1:8" x14ac:dyDescent="0.25">
      <c r="A25" s="447"/>
      <c r="B25" s="448"/>
      <c r="C25" s="448"/>
      <c r="D25" s="448"/>
      <c r="E25" s="448"/>
      <c r="F25" s="448"/>
      <c r="G25" s="448"/>
      <c r="H25" s="449"/>
    </row>
    <row r="26" spans="1:8" x14ac:dyDescent="0.25">
      <c r="A26" s="447"/>
      <c r="B26" s="448"/>
      <c r="C26" s="448"/>
      <c r="D26" s="448"/>
      <c r="E26" s="448"/>
      <c r="F26" s="448"/>
      <c r="G26" s="448"/>
      <c r="H26" s="449"/>
    </row>
    <row r="27" spans="1:8" ht="15.75" thickBot="1" x14ac:dyDescent="0.3">
      <c r="A27" s="450"/>
      <c r="B27" s="451"/>
      <c r="C27" s="451"/>
      <c r="D27" s="451"/>
      <c r="E27" s="451"/>
      <c r="F27" s="451"/>
      <c r="G27" s="451"/>
      <c r="H27" s="452"/>
    </row>
    <row r="28" spans="1:8" x14ac:dyDescent="0.25">
      <c r="A28" s="67"/>
      <c r="B28" s="67"/>
      <c r="C28" s="67"/>
      <c r="D28" s="67"/>
      <c r="E28" s="67"/>
      <c r="F28" s="67"/>
      <c r="G28" s="67"/>
      <c r="H28" s="67"/>
    </row>
    <row r="29" spans="1:8" x14ac:dyDescent="0.25">
      <c r="A29" s="67"/>
      <c r="B29" s="67"/>
      <c r="C29" s="67"/>
      <c r="D29" s="67"/>
      <c r="E29" s="67"/>
      <c r="F29" s="67"/>
      <c r="G29" s="67"/>
      <c r="H29" s="67"/>
    </row>
    <row r="30" spans="1:8" x14ac:dyDescent="0.25">
      <c r="A30" s="67"/>
      <c r="B30" s="67"/>
      <c r="C30" s="67"/>
      <c r="D30" s="67"/>
      <c r="E30" s="67"/>
      <c r="F30" s="67"/>
      <c r="G30" s="67"/>
      <c r="H30" s="67"/>
    </row>
  </sheetData>
  <mergeCells count="13">
    <mergeCell ref="A23:H27"/>
    <mergeCell ref="A22:H22"/>
    <mergeCell ref="A16:G16"/>
    <mergeCell ref="A1:H1"/>
    <mergeCell ref="A2:H2"/>
    <mergeCell ref="A8:G8"/>
    <mergeCell ref="A9:H9"/>
    <mergeCell ref="A10:H10"/>
    <mergeCell ref="A17:H17"/>
    <mergeCell ref="A20:G20"/>
    <mergeCell ref="A21:G21"/>
    <mergeCell ref="A18:G18"/>
    <mergeCell ref="A19:G19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35"/>
  <sheetViews>
    <sheetView view="pageBreakPreview" topLeftCell="A13" zoomScaleNormal="100" zoomScaleSheetLayoutView="100" workbookViewId="0">
      <selection activeCell="H20" sqref="H20"/>
    </sheetView>
  </sheetViews>
  <sheetFormatPr defaultRowHeight="15" x14ac:dyDescent="0.25"/>
  <cols>
    <col min="1" max="1" width="9.85546875" bestFit="1" customWidth="1"/>
    <col min="2" max="2" width="58.5703125" customWidth="1"/>
    <col min="3" max="3" width="11.5703125" bestFit="1" customWidth="1"/>
    <col min="4" max="4" width="14.140625" customWidth="1"/>
    <col min="5" max="8" width="20.7109375" customWidth="1"/>
    <col min="16" max="16" width="10.7109375" bestFit="1" customWidth="1"/>
  </cols>
  <sheetData>
    <row r="1" spans="1:8" ht="15" customHeight="1" thickBot="1" x14ac:dyDescent="0.3">
      <c r="A1" s="459" t="s">
        <v>163</v>
      </c>
      <c r="B1" s="460"/>
      <c r="C1" s="460"/>
      <c r="D1" s="460"/>
      <c r="E1" s="460"/>
      <c r="F1" s="460"/>
      <c r="G1" s="460"/>
      <c r="H1" s="461"/>
    </row>
    <row r="2" spans="1:8" ht="15" customHeight="1" thickBot="1" x14ac:dyDescent="0.3">
      <c r="A2" s="476" t="s">
        <v>230</v>
      </c>
      <c r="B2" s="477"/>
      <c r="C2" s="477"/>
      <c r="D2" s="477"/>
      <c r="E2" s="477"/>
      <c r="F2" s="477"/>
      <c r="G2" s="477"/>
      <c r="H2" s="478"/>
    </row>
    <row r="3" spans="1:8" ht="15" customHeight="1" x14ac:dyDescent="0.25">
      <c r="A3" s="55" t="s">
        <v>159</v>
      </c>
      <c r="B3" s="56" t="s">
        <v>226</v>
      </c>
      <c r="C3" s="56" t="s">
        <v>160</v>
      </c>
      <c r="D3" s="56" t="s">
        <v>161</v>
      </c>
      <c r="E3" s="56" t="s">
        <v>164</v>
      </c>
      <c r="F3" s="56" t="s">
        <v>162</v>
      </c>
      <c r="G3" s="56" t="s">
        <v>212</v>
      </c>
      <c r="H3" s="57" t="s">
        <v>165</v>
      </c>
    </row>
    <row r="4" spans="1:8" ht="45" customHeight="1" x14ac:dyDescent="0.25">
      <c r="A4" s="48">
        <v>1</v>
      </c>
      <c r="B4" s="49" t="s">
        <v>227</v>
      </c>
      <c r="C4" s="40">
        <v>1</v>
      </c>
      <c r="D4" s="42">
        <v>12</v>
      </c>
      <c r="E4" s="40">
        <v>12</v>
      </c>
      <c r="F4" s="46">
        <f>F8*5%</f>
        <v>15195</v>
      </c>
      <c r="G4" s="46">
        <f>F4*C4</f>
        <v>15195</v>
      </c>
      <c r="H4" s="47">
        <f>G4/12</f>
        <v>1266.25</v>
      </c>
    </row>
    <row r="5" spans="1:8" ht="15" customHeight="1" x14ac:dyDescent="0.25">
      <c r="A5" s="45"/>
      <c r="B5" s="43" t="s">
        <v>228</v>
      </c>
      <c r="C5" s="43"/>
      <c r="D5" s="43"/>
      <c r="E5" s="43"/>
      <c r="F5" s="58"/>
      <c r="G5" s="58"/>
      <c r="H5" s="59"/>
    </row>
    <row r="6" spans="1:8" ht="150" customHeight="1" x14ac:dyDescent="0.25">
      <c r="A6" s="48">
        <v>1</v>
      </c>
      <c r="B6" s="264" t="s">
        <v>229</v>
      </c>
      <c r="C6" s="40">
        <v>1</v>
      </c>
      <c r="D6" s="42">
        <v>12</v>
      </c>
      <c r="E6" s="40">
        <v>12</v>
      </c>
      <c r="F6" s="46">
        <f>F8*10%</f>
        <v>30390</v>
      </c>
      <c r="G6" s="46">
        <f>F6*C6</f>
        <v>30390</v>
      </c>
      <c r="H6" s="47">
        <f>G6/12</f>
        <v>2532.5</v>
      </c>
    </row>
    <row r="7" spans="1:8" ht="15" customHeight="1" x14ac:dyDescent="0.25">
      <c r="A7" s="45" t="s">
        <v>159</v>
      </c>
      <c r="B7" s="44" t="s">
        <v>179</v>
      </c>
      <c r="C7" s="43" t="s">
        <v>160</v>
      </c>
      <c r="D7" s="43" t="s">
        <v>161</v>
      </c>
      <c r="E7" s="43" t="s">
        <v>164</v>
      </c>
      <c r="F7" s="58" t="s">
        <v>162</v>
      </c>
      <c r="G7" s="58" t="s">
        <v>212</v>
      </c>
      <c r="H7" s="59" t="s">
        <v>165</v>
      </c>
    </row>
    <row r="8" spans="1:8" ht="15" customHeight="1" thickBot="1" x14ac:dyDescent="0.3">
      <c r="A8" s="60">
        <v>1</v>
      </c>
      <c r="B8" s="265" t="s">
        <v>180</v>
      </c>
      <c r="C8" s="61" t="s">
        <v>160</v>
      </c>
      <c r="D8" s="62">
        <v>1</v>
      </c>
      <c r="E8" s="61">
        <v>60</v>
      </c>
      <c r="F8" s="63">
        <v>303900</v>
      </c>
      <c r="G8" s="64">
        <f>F8*D8</f>
        <v>303900</v>
      </c>
      <c r="H8" s="65">
        <f>(G8/E8)</f>
        <v>5065</v>
      </c>
    </row>
    <row r="9" spans="1:8" ht="15" customHeight="1" thickBot="1" x14ac:dyDescent="0.3">
      <c r="A9" s="468"/>
      <c r="B9" s="469"/>
      <c r="C9" s="469"/>
      <c r="D9" s="469"/>
      <c r="E9" s="469"/>
      <c r="F9" s="469"/>
      <c r="G9" s="469"/>
      <c r="H9" s="470"/>
    </row>
    <row r="10" spans="1:8" ht="15" customHeight="1" thickBot="1" x14ac:dyDescent="0.3">
      <c r="A10" s="479" t="s">
        <v>231</v>
      </c>
      <c r="B10" s="480"/>
      <c r="C10" s="480"/>
      <c r="D10" s="480"/>
      <c r="E10" s="480"/>
      <c r="F10" s="480"/>
      <c r="G10" s="480"/>
      <c r="H10" s="481"/>
    </row>
    <row r="11" spans="1:8" ht="15" customHeight="1" x14ac:dyDescent="0.25">
      <c r="A11" s="55" t="s">
        <v>159</v>
      </c>
      <c r="B11" s="56" t="s">
        <v>226</v>
      </c>
      <c r="C11" s="56" t="s">
        <v>160</v>
      </c>
      <c r="D11" s="56" t="s">
        <v>161</v>
      </c>
      <c r="E11" s="56" t="s">
        <v>164</v>
      </c>
      <c r="F11" s="56" t="s">
        <v>162</v>
      </c>
      <c r="G11" s="56" t="s">
        <v>212</v>
      </c>
      <c r="H11" s="57" t="s">
        <v>165</v>
      </c>
    </row>
    <row r="12" spans="1:8" ht="15" customHeight="1" x14ac:dyDescent="0.25">
      <c r="A12" s="48">
        <v>1</v>
      </c>
      <c r="B12" s="49" t="s">
        <v>227</v>
      </c>
      <c r="C12" s="40">
        <v>1</v>
      </c>
      <c r="D12" s="42">
        <v>12</v>
      </c>
      <c r="E12" s="40">
        <v>12</v>
      </c>
      <c r="F12" s="46">
        <f>F16*5%</f>
        <v>15750</v>
      </c>
      <c r="G12" s="46">
        <f>F12*C12</f>
        <v>15750</v>
      </c>
      <c r="H12" s="47">
        <f>G12/12</f>
        <v>1312.5</v>
      </c>
    </row>
    <row r="13" spans="1:8" ht="15" customHeight="1" x14ac:dyDescent="0.25">
      <c r="A13" s="45"/>
      <c r="B13" s="43" t="s">
        <v>228</v>
      </c>
      <c r="C13" s="43"/>
      <c r="D13" s="43"/>
      <c r="E13" s="43"/>
      <c r="F13" s="58"/>
      <c r="G13" s="58"/>
      <c r="H13" s="59"/>
    </row>
    <row r="14" spans="1:8" ht="150" x14ac:dyDescent="0.25">
      <c r="A14" s="48">
        <v>1</v>
      </c>
      <c r="B14" s="264" t="s">
        <v>229</v>
      </c>
      <c r="C14" s="40">
        <v>1</v>
      </c>
      <c r="D14" s="42">
        <v>12</v>
      </c>
      <c r="E14" s="40">
        <v>12</v>
      </c>
      <c r="F14" s="46">
        <f>F16*10%</f>
        <v>31500</v>
      </c>
      <c r="G14" s="46">
        <f>F14*C14</f>
        <v>31500</v>
      </c>
      <c r="H14" s="47">
        <f>G14/12</f>
        <v>2625</v>
      </c>
    </row>
    <row r="15" spans="1:8" x14ac:dyDescent="0.25">
      <c r="A15" s="45" t="s">
        <v>159</v>
      </c>
      <c r="B15" s="44" t="s">
        <v>179</v>
      </c>
      <c r="C15" s="43" t="s">
        <v>160</v>
      </c>
      <c r="D15" s="43" t="s">
        <v>161</v>
      </c>
      <c r="E15" s="43" t="s">
        <v>164</v>
      </c>
      <c r="F15" s="58" t="s">
        <v>162</v>
      </c>
      <c r="G15" s="58" t="s">
        <v>212</v>
      </c>
      <c r="H15" s="59" t="s">
        <v>165</v>
      </c>
    </row>
    <row r="16" spans="1:8" ht="15.75" thickBot="1" x14ac:dyDescent="0.3">
      <c r="A16" s="60">
        <v>1</v>
      </c>
      <c r="B16" s="265" t="s">
        <v>223</v>
      </c>
      <c r="C16" s="61" t="s">
        <v>160</v>
      </c>
      <c r="D16" s="62">
        <v>1</v>
      </c>
      <c r="E16" s="61">
        <v>60</v>
      </c>
      <c r="F16" s="63">
        <v>315000</v>
      </c>
      <c r="G16" s="64">
        <f>F16*D16</f>
        <v>315000</v>
      </c>
      <c r="H16" s="65">
        <f>(G16/E16)</f>
        <v>5250</v>
      </c>
    </row>
    <row r="17" spans="1:8" ht="15.75" thickBot="1" x14ac:dyDescent="0.3">
      <c r="A17" s="482"/>
      <c r="B17" s="433"/>
      <c r="C17" s="433"/>
      <c r="D17" s="433"/>
      <c r="E17" s="433"/>
      <c r="F17" s="433"/>
      <c r="G17" s="433"/>
      <c r="H17" s="434"/>
    </row>
    <row r="18" spans="1:8" ht="15.75" thickBot="1" x14ac:dyDescent="0.3">
      <c r="A18" s="471" t="s">
        <v>308</v>
      </c>
      <c r="B18" s="472"/>
      <c r="C18" s="472"/>
      <c r="D18" s="472"/>
      <c r="E18" s="472"/>
      <c r="F18" s="472"/>
      <c r="G18" s="473"/>
      <c r="H18" s="41">
        <f>SUM(H4:H8)/4</f>
        <v>2215.94</v>
      </c>
    </row>
    <row r="19" spans="1:8" ht="15.75" thickBot="1" x14ac:dyDescent="0.3">
      <c r="A19" s="471" t="s">
        <v>224</v>
      </c>
      <c r="B19" s="472"/>
      <c r="C19" s="472"/>
      <c r="D19" s="472"/>
      <c r="E19" s="472"/>
      <c r="F19" s="472"/>
      <c r="G19" s="473"/>
      <c r="H19" s="41">
        <f>SUM(H4:H8)/4</f>
        <v>2215.94</v>
      </c>
    </row>
    <row r="20" spans="1:8" ht="15.75" thickBot="1" x14ac:dyDescent="0.3">
      <c r="A20" s="471" t="s">
        <v>225</v>
      </c>
      <c r="B20" s="472"/>
      <c r="C20" s="472"/>
      <c r="D20" s="472"/>
      <c r="E20" s="472"/>
      <c r="F20" s="472"/>
      <c r="G20" s="473"/>
      <c r="H20" s="41">
        <f>SUM(H4:H8)/8</f>
        <v>1107.97</v>
      </c>
    </row>
    <row r="21" spans="1:8" ht="15.75" thickBot="1" x14ac:dyDescent="0.3">
      <c r="A21" s="471" t="s">
        <v>255</v>
      </c>
      <c r="B21" s="472"/>
      <c r="C21" s="472"/>
      <c r="D21" s="472"/>
      <c r="E21" s="472"/>
      <c r="F21" s="472"/>
      <c r="G21" s="473"/>
      <c r="H21" s="41">
        <f>SUM(H12:H16)/12</f>
        <v>765.63</v>
      </c>
    </row>
    <row r="22" spans="1:8" ht="15.75" thickBot="1" x14ac:dyDescent="0.3">
      <c r="A22" s="453" t="s">
        <v>232</v>
      </c>
      <c r="B22" s="474"/>
      <c r="C22" s="474"/>
      <c r="D22" s="474"/>
      <c r="E22" s="474"/>
      <c r="F22" s="474"/>
      <c r="G22" s="474"/>
      <c r="H22" s="475"/>
    </row>
    <row r="23" spans="1:8" ht="15" customHeight="1" x14ac:dyDescent="0.25">
      <c r="A23" s="435" t="s">
        <v>303</v>
      </c>
      <c r="B23" s="436"/>
      <c r="C23" s="436"/>
      <c r="D23" s="436"/>
      <c r="E23" s="436"/>
      <c r="F23" s="436"/>
      <c r="G23" s="436"/>
      <c r="H23" s="437"/>
    </row>
    <row r="24" spans="1:8" x14ac:dyDescent="0.25">
      <c r="A24" s="438"/>
      <c r="B24" s="439"/>
      <c r="C24" s="439"/>
      <c r="D24" s="439"/>
      <c r="E24" s="439"/>
      <c r="F24" s="439"/>
      <c r="G24" s="439"/>
      <c r="H24" s="440"/>
    </row>
    <row r="25" spans="1:8" x14ac:dyDescent="0.25">
      <c r="A25" s="438"/>
      <c r="B25" s="439"/>
      <c r="C25" s="439"/>
      <c r="D25" s="439"/>
      <c r="E25" s="439"/>
      <c r="F25" s="439"/>
      <c r="G25" s="439"/>
      <c r="H25" s="440"/>
    </row>
    <row r="26" spans="1:8" x14ac:dyDescent="0.25">
      <c r="A26" s="438"/>
      <c r="B26" s="439"/>
      <c r="C26" s="439"/>
      <c r="D26" s="439"/>
      <c r="E26" s="439"/>
      <c r="F26" s="439"/>
      <c r="G26" s="439"/>
      <c r="H26" s="440"/>
    </row>
    <row r="27" spans="1:8" x14ac:dyDescent="0.25">
      <c r="A27" s="438"/>
      <c r="B27" s="439"/>
      <c r="C27" s="439"/>
      <c r="D27" s="439"/>
      <c r="E27" s="439"/>
      <c r="F27" s="439"/>
      <c r="G27" s="439"/>
      <c r="H27" s="440"/>
    </row>
    <row r="28" spans="1:8" x14ac:dyDescent="0.25">
      <c r="A28" s="438"/>
      <c r="B28" s="439"/>
      <c r="C28" s="439"/>
      <c r="D28" s="439"/>
      <c r="E28" s="439"/>
      <c r="F28" s="439"/>
      <c r="G28" s="439"/>
      <c r="H28" s="440"/>
    </row>
    <row r="29" spans="1:8" x14ac:dyDescent="0.25">
      <c r="A29" s="438"/>
      <c r="B29" s="439"/>
      <c r="C29" s="439"/>
      <c r="D29" s="439"/>
      <c r="E29" s="439"/>
      <c r="F29" s="439"/>
      <c r="G29" s="439"/>
      <c r="H29" s="440"/>
    </row>
    <row r="30" spans="1:8" x14ac:dyDescent="0.25">
      <c r="A30" s="438"/>
      <c r="B30" s="439"/>
      <c r="C30" s="439"/>
      <c r="D30" s="439"/>
      <c r="E30" s="439"/>
      <c r="F30" s="439"/>
      <c r="G30" s="439"/>
      <c r="H30" s="440"/>
    </row>
    <row r="31" spans="1:8" x14ac:dyDescent="0.25">
      <c r="A31" s="438"/>
      <c r="B31" s="439"/>
      <c r="C31" s="439"/>
      <c r="D31" s="439"/>
      <c r="E31" s="439"/>
      <c r="F31" s="439"/>
      <c r="G31" s="439"/>
      <c r="H31" s="440"/>
    </row>
    <row r="32" spans="1:8" x14ac:dyDescent="0.25">
      <c r="A32" s="438"/>
      <c r="B32" s="439"/>
      <c r="C32" s="439"/>
      <c r="D32" s="439"/>
      <c r="E32" s="439"/>
      <c r="F32" s="439"/>
      <c r="G32" s="439"/>
      <c r="H32" s="440"/>
    </row>
    <row r="33" spans="1:8" x14ac:dyDescent="0.25">
      <c r="A33" s="438"/>
      <c r="B33" s="439"/>
      <c r="C33" s="439"/>
      <c r="D33" s="439"/>
      <c r="E33" s="439"/>
      <c r="F33" s="439"/>
      <c r="G33" s="439"/>
      <c r="H33" s="440"/>
    </row>
    <row r="34" spans="1:8" x14ac:dyDescent="0.25">
      <c r="A34" s="438"/>
      <c r="B34" s="439"/>
      <c r="C34" s="439"/>
      <c r="D34" s="439"/>
      <c r="E34" s="439"/>
      <c r="F34" s="439"/>
      <c r="G34" s="439"/>
      <c r="H34" s="440"/>
    </row>
    <row r="35" spans="1:8" ht="15.75" thickBot="1" x14ac:dyDescent="0.3">
      <c r="A35" s="441"/>
      <c r="B35" s="442"/>
      <c r="C35" s="442"/>
      <c r="D35" s="442"/>
      <c r="E35" s="442"/>
      <c r="F35" s="442"/>
      <c r="G35" s="442"/>
      <c r="H35" s="443"/>
    </row>
  </sheetData>
  <mergeCells count="11">
    <mergeCell ref="A23:H35"/>
    <mergeCell ref="A22:H22"/>
    <mergeCell ref="A21:G21"/>
    <mergeCell ref="A1:H1"/>
    <mergeCell ref="A2:H2"/>
    <mergeCell ref="A18:G18"/>
    <mergeCell ref="A10:H10"/>
    <mergeCell ref="A17:H17"/>
    <mergeCell ref="A20:G20"/>
    <mergeCell ref="A9:H9"/>
    <mergeCell ref="A19:G19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12" t="s">
        <v>92</v>
      </c>
      <c r="B1" s="312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tabSelected="1" view="pageBreakPreview" topLeftCell="A4" zoomScale="80" zoomScaleNormal="80" zoomScaleSheetLayoutView="80" workbookViewId="0">
      <selection activeCell="B4" sqref="B4"/>
    </sheetView>
  </sheetViews>
  <sheetFormatPr defaultRowHeight="12.75" x14ac:dyDescent="0.25"/>
  <cols>
    <col min="1" max="1" width="10.7109375" style="50" customWidth="1"/>
    <col min="2" max="2" width="60.7109375" style="50" customWidth="1"/>
    <col min="3" max="8" width="20.7109375" style="50" customWidth="1"/>
    <col min="9" max="10" width="9.140625" style="50"/>
    <col min="11" max="11" width="9.140625" style="50" customWidth="1"/>
    <col min="12" max="16384" width="9.140625" style="50"/>
  </cols>
  <sheetData>
    <row r="1" spans="1:8" ht="20.100000000000001" customHeight="1" thickBot="1" x14ac:dyDescent="0.3">
      <c r="A1" s="331" t="s">
        <v>309</v>
      </c>
      <c r="B1" s="332"/>
      <c r="C1" s="332"/>
      <c r="D1" s="332"/>
      <c r="E1" s="332"/>
      <c r="F1" s="332"/>
      <c r="G1" s="332"/>
      <c r="H1" s="333"/>
    </row>
    <row r="2" spans="1:8" ht="45" customHeight="1" x14ac:dyDescent="0.25">
      <c r="A2" s="145" t="s">
        <v>240</v>
      </c>
      <c r="B2" s="146" t="s">
        <v>241</v>
      </c>
      <c r="C2" s="147" t="s">
        <v>264</v>
      </c>
      <c r="D2" s="147" t="s">
        <v>242</v>
      </c>
      <c r="E2" s="147" t="s">
        <v>243</v>
      </c>
      <c r="F2" s="146" t="s">
        <v>244</v>
      </c>
      <c r="G2" s="146" t="s">
        <v>265</v>
      </c>
      <c r="H2" s="148" t="s">
        <v>266</v>
      </c>
    </row>
    <row r="3" spans="1:8" ht="150" customHeight="1" x14ac:dyDescent="0.25">
      <c r="A3" s="101">
        <v>1</v>
      </c>
      <c r="B3" s="102" t="s">
        <v>305</v>
      </c>
      <c r="C3" s="103" t="s">
        <v>306</v>
      </c>
      <c r="D3" s="103" t="s">
        <v>269</v>
      </c>
      <c r="E3" s="104">
        <v>1</v>
      </c>
      <c r="F3" s="105">
        <f>('Motorista - Diurno'!D112+'Técnico de Enfermagem - Diurno'!D113)*2</f>
        <v>54487.519999999997</v>
      </c>
      <c r="G3" s="105">
        <f>F3*E3</f>
        <v>54487.519999999997</v>
      </c>
      <c r="H3" s="106">
        <f>G3*12</f>
        <v>653850.24</v>
      </c>
    </row>
    <row r="4" spans="1:8" ht="150" customHeight="1" x14ac:dyDescent="0.25">
      <c r="A4" s="101">
        <v>2</v>
      </c>
      <c r="B4" s="107" t="s">
        <v>292</v>
      </c>
      <c r="C4" s="103" t="s">
        <v>268</v>
      </c>
      <c r="D4" s="103" t="s">
        <v>269</v>
      </c>
      <c r="E4" s="104">
        <v>1</v>
      </c>
      <c r="F4" s="105">
        <f>('Motorista - Diurno'!E112+'Técnico de Enfermagem - Diurno'!E113)*2</f>
        <v>54487.519999999997</v>
      </c>
      <c r="G4" s="105">
        <f>F4*E4</f>
        <v>54487.519999999997</v>
      </c>
      <c r="H4" s="106">
        <f>G4*12</f>
        <v>653850.24</v>
      </c>
    </row>
    <row r="5" spans="1:8" ht="150" customHeight="1" x14ac:dyDescent="0.25">
      <c r="A5" s="101">
        <v>3</v>
      </c>
      <c r="B5" s="102" t="s">
        <v>293</v>
      </c>
      <c r="C5" s="103" t="s">
        <v>267</v>
      </c>
      <c r="D5" s="103" t="s">
        <v>269</v>
      </c>
      <c r="E5" s="104">
        <v>2</v>
      </c>
      <c r="F5" s="105">
        <f>('Motorista - Diurno'!F112+'Motorista - Noturno'!D113+'Técnico de Enfermagem - Diurno'!F113+'Técnico de Enfermagem - Noturno'!D113)*2</f>
        <v>100601.18</v>
      </c>
      <c r="G5" s="105">
        <f>F5*E5</f>
        <v>201202.36</v>
      </c>
      <c r="H5" s="106">
        <f>G5*12</f>
        <v>2414428.3199999998</v>
      </c>
    </row>
    <row r="6" spans="1:8" ht="150" customHeight="1" thickBot="1" x14ac:dyDescent="0.3">
      <c r="A6" s="108">
        <v>4</v>
      </c>
      <c r="B6" s="109" t="s">
        <v>294</v>
      </c>
      <c r="C6" s="110" t="s">
        <v>267</v>
      </c>
      <c r="D6" s="110" t="s">
        <v>269</v>
      </c>
      <c r="E6" s="111">
        <v>1</v>
      </c>
      <c r="F6" s="112">
        <f>('Motorista - Diurno'!G112+'Motorista - Noturno'!E113+'Enfermeiro - Diurno'!D112+'Enfermeiro - Noturno'!D113+'Médico - Diurno '!D112+'Médico - Noturno'!D112)*2</f>
        <v>304576.36</v>
      </c>
      <c r="G6" s="112">
        <f>F6*E6</f>
        <v>304576.36</v>
      </c>
      <c r="H6" s="113">
        <f>G6*12</f>
        <v>3654916.32</v>
      </c>
    </row>
    <row r="7" spans="1:8" ht="15" customHeight="1" thickBot="1" x14ac:dyDescent="0.3">
      <c r="A7" s="334" t="s">
        <v>237</v>
      </c>
      <c r="B7" s="335"/>
      <c r="C7" s="335"/>
      <c r="D7" s="335"/>
      <c r="E7" s="335"/>
      <c r="F7" s="335"/>
      <c r="G7" s="335"/>
      <c r="H7" s="114">
        <f>SUM(H3:H6)</f>
        <v>7377045.1200000001</v>
      </c>
    </row>
    <row r="8" spans="1:8" ht="15.75" thickBot="1" x14ac:dyDescent="0.3">
      <c r="A8" s="115"/>
      <c r="B8" s="116"/>
      <c r="C8" s="116"/>
      <c r="D8" s="116"/>
      <c r="E8" s="116"/>
      <c r="F8" s="116"/>
      <c r="G8" s="116"/>
      <c r="H8" s="117"/>
    </row>
    <row r="9" spans="1:8" ht="20.100000000000001" customHeight="1" thickBot="1" x14ac:dyDescent="0.3">
      <c r="A9" s="324" t="s">
        <v>309</v>
      </c>
      <c r="B9" s="325"/>
      <c r="C9" s="325"/>
      <c r="D9" s="325"/>
      <c r="E9" s="325"/>
      <c r="F9" s="325"/>
      <c r="G9" s="325"/>
      <c r="H9" s="326"/>
    </row>
    <row r="10" spans="1:8" ht="45" x14ac:dyDescent="0.25">
      <c r="A10" s="327" t="s">
        <v>167</v>
      </c>
      <c r="B10" s="328"/>
      <c r="C10" s="146" t="s">
        <v>168</v>
      </c>
      <c r="D10" s="146" t="s">
        <v>169</v>
      </c>
      <c r="E10" s="146" t="s">
        <v>170</v>
      </c>
      <c r="F10" s="146" t="s">
        <v>171</v>
      </c>
      <c r="G10" s="146" t="s">
        <v>172</v>
      </c>
      <c r="H10" s="148" t="s">
        <v>173</v>
      </c>
    </row>
    <row r="11" spans="1:8" ht="15" customHeight="1" thickBot="1" x14ac:dyDescent="0.3">
      <c r="A11" s="329" t="s">
        <v>174</v>
      </c>
      <c r="B11" s="330"/>
      <c r="C11" s="118" t="s">
        <v>175</v>
      </c>
      <c r="D11" s="118" t="s">
        <v>176</v>
      </c>
      <c r="E11" s="119" t="s">
        <v>214</v>
      </c>
      <c r="F11" s="119" t="s">
        <v>215</v>
      </c>
      <c r="G11" s="120" t="s">
        <v>177</v>
      </c>
      <c r="H11" s="121" t="s">
        <v>213</v>
      </c>
    </row>
    <row r="12" spans="1:8" ht="15" customHeight="1" thickBot="1" x14ac:dyDescent="0.3">
      <c r="A12" s="313" t="s">
        <v>181</v>
      </c>
      <c r="B12" s="314"/>
      <c r="C12" s="314"/>
      <c r="D12" s="314"/>
      <c r="E12" s="314"/>
      <c r="F12" s="314"/>
      <c r="G12" s="314"/>
      <c r="H12" s="315"/>
    </row>
    <row r="13" spans="1:8" ht="15" customHeight="1" x14ac:dyDescent="0.25">
      <c r="A13" s="318">
        <v>1</v>
      </c>
      <c r="B13" s="122" t="s">
        <v>271</v>
      </c>
      <c r="C13" s="123">
        <f>'Motorista - Diurno'!D112</f>
        <v>13828.8</v>
      </c>
      <c r="D13" s="124">
        <v>2</v>
      </c>
      <c r="E13" s="125">
        <v>1</v>
      </c>
      <c r="F13" s="126">
        <f>C13*D13</f>
        <v>27657.599999999999</v>
      </c>
      <c r="G13" s="126">
        <f>F13*E13</f>
        <v>27657.599999999999</v>
      </c>
      <c r="H13" s="127">
        <f>G13*12</f>
        <v>331891.20000000001</v>
      </c>
    </row>
    <row r="14" spans="1:8" ht="15" customHeight="1" thickBot="1" x14ac:dyDescent="0.3">
      <c r="A14" s="319"/>
      <c r="B14" s="128" t="s">
        <v>220</v>
      </c>
      <c r="C14" s="129">
        <f>'Técnico de Enfermagem - Diurno'!D113</f>
        <v>13414.96</v>
      </c>
      <c r="D14" s="130">
        <v>2</v>
      </c>
      <c r="E14" s="131">
        <v>1</v>
      </c>
      <c r="F14" s="129">
        <f>C14*D14</f>
        <v>26829.919999999998</v>
      </c>
      <c r="G14" s="129">
        <f>F14*E14</f>
        <v>26829.919999999998</v>
      </c>
      <c r="H14" s="132">
        <f t="shared" ref="H14" si="0">G14*12</f>
        <v>321959.03999999998</v>
      </c>
    </row>
    <row r="15" spans="1:8" ht="15" customHeight="1" thickBot="1" x14ac:dyDescent="0.3">
      <c r="A15" s="313" t="s">
        <v>181</v>
      </c>
      <c r="B15" s="314"/>
      <c r="C15" s="314"/>
      <c r="D15" s="314"/>
      <c r="E15" s="314"/>
      <c r="F15" s="314"/>
      <c r="G15" s="314"/>
      <c r="H15" s="315"/>
    </row>
    <row r="16" spans="1:8" ht="15" customHeight="1" x14ac:dyDescent="0.25">
      <c r="A16" s="318">
        <v>2</v>
      </c>
      <c r="B16" s="122" t="s">
        <v>271</v>
      </c>
      <c r="C16" s="123">
        <f>'Motorista - Diurno'!E112</f>
        <v>13828.8</v>
      </c>
      <c r="D16" s="124">
        <v>2</v>
      </c>
      <c r="E16" s="125">
        <v>1</v>
      </c>
      <c r="F16" s="126">
        <f>C16*D16</f>
        <v>27657.599999999999</v>
      </c>
      <c r="G16" s="126">
        <f>F16*E16</f>
        <v>27657.599999999999</v>
      </c>
      <c r="H16" s="127">
        <f>G16*12</f>
        <v>331891.20000000001</v>
      </c>
    </row>
    <row r="17" spans="1:8" ht="15" customHeight="1" thickBot="1" x14ac:dyDescent="0.3">
      <c r="A17" s="319"/>
      <c r="B17" s="133" t="s">
        <v>220</v>
      </c>
      <c r="C17" s="137">
        <f>'Técnico de Enfermagem - Diurno'!E113</f>
        <v>13414.96</v>
      </c>
      <c r="D17" s="135">
        <v>2</v>
      </c>
      <c r="E17" s="136">
        <v>1</v>
      </c>
      <c r="F17" s="137">
        <f>C17*D17</f>
        <v>26829.919999999998</v>
      </c>
      <c r="G17" s="137">
        <f>F17*E17</f>
        <v>26829.919999999998</v>
      </c>
      <c r="H17" s="138">
        <f t="shared" ref="H17" si="1">G17*12</f>
        <v>321959.03999999998</v>
      </c>
    </row>
    <row r="18" spans="1:8" ht="15" customHeight="1" thickBot="1" x14ac:dyDescent="0.3">
      <c r="A18" s="313" t="s">
        <v>181</v>
      </c>
      <c r="B18" s="314"/>
      <c r="C18" s="314"/>
      <c r="D18" s="314"/>
      <c r="E18" s="314"/>
      <c r="F18" s="314"/>
      <c r="G18" s="314"/>
      <c r="H18" s="315"/>
    </row>
    <row r="19" spans="1:8" ht="15" customHeight="1" x14ac:dyDescent="0.25">
      <c r="A19" s="318">
        <v>3</v>
      </c>
      <c r="B19" s="122" t="s">
        <v>271</v>
      </c>
      <c r="C19" s="123">
        <f>'Motorista - Diurno'!F112</f>
        <v>12256.98</v>
      </c>
      <c r="D19" s="124">
        <v>2</v>
      </c>
      <c r="E19" s="125">
        <v>2</v>
      </c>
      <c r="F19" s="126">
        <f>C19*D19</f>
        <v>24513.96</v>
      </c>
      <c r="G19" s="126">
        <f>F19*E19</f>
        <v>49027.92</v>
      </c>
      <c r="H19" s="127">
        <f>G19*12</f>
        <v>588335.04</v>
      </c>
    </row>
    <row r="20" spans="1:8" ht="15" customHeight="1" x14ac:dyDescent="0.25">
      <c r="A20" s="319"/>
      <c r="B20" s="133" t="s">
        <v>272</v>
      </c>
      <c r="C20" s="134">
        <f>'Motorista - Noturno'!D113</f>
        <v>13330.04</v>
      </c>
      <c r="D20" s="135">
        <v>2</v>
      </c>
      <c r="E20" s="136">
        <v>2</v>
      </c>
      <c r="F20" s="137">
        <f t="shared" ref="F20" si="2">C20*D20</f>
        <v>26660.080000000002</v>
      </c>
      <c r="G20" s="137">
        <f>F20*E20</f>
        <v>53320.160000000003</v>
      </c>
      <c r="H20" s="138">
        <f t="shared" ref="H20" si="3">G20*12</f>
        <v>639841.92000000004</v>
      </c>
    </row>
    <row r="21" spans="1:8" ht="15" customHeight="1" x14ac:dyDescent="0.25">
      <c r="A21" s="319"/>
      <c r="B21" s="133" t="s">
        <v>220</v>
      </c>
      <c r="C21" s="137">
        <f>'Técnico de Enfermagem - Diurno'!F113</f>
        <v>11843.14</v>
      </c>
      <c r="D21" s="135">
        <v>2</v>
      </c>
      <c r="E21" s="136">
        <v>2</v>
      </c>
      <c r="F21" s="137">
        <f>C21*D21</f>
        <v>23686.28</v>
      </c>
      <c r="G21" s="137">
        <f>F21*E21</f>
        <v>47372.56</v>
      </c>
      <c r="H21" s="138">
        <f t="shared" ref="H21:H22" si="4">G21*12</f>
        <v>568470.72</v>
      </c>
    </row>
    <row r="22" spans="1:8" ht="15" customHeight="1" thickBot="1" x14ac:dyDescent="0.3">
      <c r="A22" s="323"/>
      <c r="B22" s="139" t="s">
        <v>219</v>
      </c>
      <c r="C22" s="137">
        <f>'Técnico de Enfermagem - Noturno'!D113</f>
        <v>12870.43</v>
      </c>
      <c r="D22" s="135">
        <v>2</v>
      </c>
      <c r="E22" s="136">
        <v>2</v>
      </c>
      <c r="F22" s="137">
        <f t="shared" ref="F22" si="5">C22*D22</f>
        <v>25740.86</v>
      </c>
      <c r="G22" s="137">
        <f t="shared" ref="G22" si="6">F22*E22</f>
        <v>51481.72</v>
      </c>
      <c r="H22" s="138">
        <f t="shared" si="4"/>
        <v>617780.64</v>
      </c>
    </row>
    <row r="23" spans="1:8" ht="15" customHeight="1" thickBot="1" x14ac:dyDescent="0.3">
      <c r="A23" s="313" t="s">
        <v>221</v>
      </c>
      <c r="B23" s="314"/>
      <c r="C23" s="314"/>
      <c r="D23" s="314"/>
      <c r="E23" s="314"/>
      <c r="F23" s="314"/>
      <c r="G23" s="314"/>
      <c r="H23" s="315"/>
    </row>
    <row r="24" spans="1:8" ht="15" customHeight="1" x14ac:dyDescent="0.25">
      <c r="A24" s="320">
        <v>4</v>
      </c>
      <c r="B24" s="122" t="s">
        <v>271</v>
      </c>
      <c r="C24" s="123">
        <f>'Motorista - Diurno'!G112</f>
        <v>11770.42</v>
      </c>
      <c r="D24" s="124">
        <v>2</v>
      </c>
      <c r="E24" s="125">
        <v>1</v>
      </c>
      <c r="F24" s="126">
        <f>C24*D24</f>
        <v>23540.84</v>
      </c>
      <c r="G24" s="126">
        <f>F24*E24</f>
        <v>23540.84</v>
      </c>
      <c r="H24" s="127">
        <f>G24*12</f>
        <v>282490.08</v>
      </c>
    </row>
    <row r="25" spans="1:8" ht="15" customHeight="1" x14ac:dyDescent="0.25">
      <c r="A25" s="321"/>
      <c r="B25" s="133" t="s">
        <v>272</v>
      </c>
      <c r="C25" s="134">
        <f>'Motorista - Noturno'!E113</f>
        <v>12843.49</v>
      </c>
      <c r="D25" s="135">
        <v>2</v>
      </c>
      <c r="E25" s="136">
        <v>1</v>
      </c>
      <c r="F25" s="137">
        <f t="shared" ref="F25" si="7">C25*D25</f>
        <v>25686.98</v>
      </c>
      <c r="G25" s="137">
        <f>F25*E25</f>
        <v>25686.98</v>
      </c>
      <c r="H25" s="138">
        <f t="shared" ref="H25:H29" si="8">G25*12</f>
        <v>308243.76</v>
      </c>
    </row>
    <row r="26" spans="1:8" ht="15" customHeight="1" x14ac:dyDescent="0.25">
      <c r="A26" s="321"/>
      <c r="B26" s="133" t="s">
        <v>218</v>
      </c>
      <c r="C26" s="137">
        <f>'Enfermeiro - Diurno'!D112</f>
        <v>13784.92</v>
      </c>
      <c r="D26" s="135">
        <v>2</v>
      </c>
      <c r="E26" s="136">
        <v>1</v>
      </c>
      <c r="F26" s="137">
        <f>C26*D26</f>
        <v>27569.84</v>
      </c>
      <c r="G26" s="137">
        <f>F26*E26</f>
        <v>27569.84</v>
      </c>
      <c r="H26" s="138">
        <f t="shared" si="8"/>
        <v>330838.08</v>
      </c>
    </row>
    <row r="27" spans="1:8" ht="15" customHeight="1" x14ac:dyDescent="0.25">
      <c r="A27" s="321"/>
      <c r="B27" s="133" t="s">
        <v>222</v>
      </c>
      <c r="C27" s="137">
        <f>'Enfermeiro - Noturno'!D113</f>
        <v>15184.57</v>
      </c>
      <c r="D27" s="135">
        <v>2</v>
      </c>
      <c r="E27" s="136">
        <v>1</v>
      </c>
      <c r="F27" s="137">
        <f t="shared" ref="F27" si="9">C27*D27</f>
        <v>30369.14</v>
      </c>
      <c r="G27" s="137">
        <f t="shared" ref="G27" si="10">F27*E27</f>
        <v>30369.14</v>
      </c>
      <c r="H27" s="138">
        <f t="shared" si="8"/>
        <v>364429.68</v>
      </c>
    </row>
    <row r="28" spans="1:8" ht="15" customHeight="1" x14ac:dyDescent="0.25">
      <c r="A28" s="321"/>
      <c r="B28" s="133" t="s">
        <v>238</v>
      </c>
      <c r="C28" s="137">
        <f>'Médico - Diurno '!D112</f>
        <v>46825.15</v>
      </c>
      <c r="D28" s="135">
        <v>2</v>
      </c>
      <c r="E28" s="136">
        <v>1</v>
      </c>
      <c r="F28" s="137">
        <f>C28*D28</f>
        <v>93650.3</v>
      </c>
      <c r="G28" s="137">
        <f>F28*E28</f>
        <v>93650.3</v>
      </c>
      <c r="H28" s="138">
        <f t="shared" si="8"/>
        <v>1123803.6000000001</v>
      </c>
    </row>
    <row r="29" spans="1:8" ht="15" customHeight="1" thickBot="1" x14ac:dyDescent="0.3">
      <c r="A29" s="322"/>
      <c r="B29" s="139" t="s">
        <v>239</v>
      </c>
      <c r="C29" s="140">
        <f>'Médico - Noturno'!D112</f>
        <v>51879.63</v>
      </c>
      <c r="D29" s="141">
        <v>2</v>
      </c>
      <c r="E29" s="142">
        <v>1</v>
      </c>
      <c r="F29" s="140">
        <f t="shared" ref="F29" si="11">C29*D29</f>
        <v>103759.26</v>
      </c>
      <c r="G29" s="140">
        <f t="shared" ref="G29" si="12">F29*E29</f>
        <v>103759.26</v>
      </c>
      <c r="H29" s="143">
        <f t="shared" si="8"/>
        <v>1245111.1200000001</v>
      </c>
    </row>
    <row r="30" spans="1:8" ht="15" customHeight="1" thickBot="1" x14ac:dyDescent="0.3">
      <c r="A30" s="316" t="s">
        <v>237</v>
      </c>
      <c r="B30" s="317"/>
      <c r="C30" s="317"/>
      <c r="D30" s="317"/>
      <c r="E30" s="317"/>
      <c r="F30" s="317"/>
      <c r="G30" s="317"/>
      <c r="H30" s="144">
        <f>SUM(H13:H29)</f>
        <v>7377045.1200000001</v>
      </c>
    </row>
  </sheetData>
  <mergeCells count="14">
    <mergeCell ref="A9:H9"/>
    <mergeCell ref="A10:B10"/>
    <mergeCell ref="A11:B11"/>
    <mergeCell ref="A1:H1"/>
    <mergeCell ref="A7:G7"/>
    <mergeCell ref="A23:H23"/>
    <mergeCell ref="A15:H15"/>
    <mergeCell ref="A12:H12"/>
    <mergeCell ref="A30:G30"/>
    <mergeCell ref="A16:A17"/>
    <mergeCell ref="A13:A14"/>
    <mergeCell ref="A24:A29"/>
    <mergeCell ref="A19:A22"/>
    <mergeCell ref="A18:H18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24"/>
  <sheetViews>
    <sheetView view="pageBreakPreview" topLeftCell="A6" zoomScaleNormal="115" zoomScaleSheetLayoutView="100" workbookViewId="0">
      <selection activeCell="E16" sqref="E1:E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7" width="15.7109375" style="32" customWidth="1"/>
    <col min="8" max="16384" width="9.140625" style="28"/>
  </cols>
  <sheetData>
    <row r="1" spans="1:7" x14ac:dyDescent="0.25">
      <c r="A1" s="377"/>
      <c r="B1" s="378"/>
      <c r="C1" s="378"/>
      <c r="D1" s="378"/>
      <c r="E1" s="378"/>
      <c r="F1" s="378"/>
      <c r="G1" s="379"/>
    </row>
    <row r="2" spans="1:7" s="38" customFormat="1" ht="16.5" customHeight="1" x14ac:dyDescent="0.25">
      <c r="A2" s="350" t="s">
        <v>127</v>
      </c>
      <c r="B2" s="351"/>
      <c r="C2" s="351"/>
      <c r="D2" s="351"/>
      <c r="E2" s="351"/>
      <c r="F2" s="351"/>
      <c r="G2" s="352"/>
    </row>
    <row r="3" spans="1:7" s="38" customFormat="1" x14ac:dyDescent="0.25">
      <c r="A3" s="347" t="s">
        <v>126</v>
      </c>
      <c r="B3" s="348"/>
      <c r="C3" s="348"/>
      <c r="D3" s="348"/>
      <c r="E3" s="348"/>
      <c r="F3" s="348"/>
      <c r="G3" s="349"/>
    </row>
    <row r="4" spans="1:7" s="38" customFormat="1" ht="15" customHeight="1" x14ac:dyDescent="0.25">
      <c r="A4" s="76" t="s">
        <v>0</v>
      </c>
      <c r="B4" s="293" t="s">
        <v>1</v>
      </c>
      <c r="C4" s="385">
        <v>2025</v>
      </c>
      <c r="D4" s="385"/>
      <c r="E4" s="385"/>
      <c r="F4" s="385"/>
      <c r="G4" s="386"/>
    </row>
    <row r="5" spans="1:7" s="38" customFormat="1" ht="45" customHeight="1" x14ac:dyDescent="0.25">
      <c r="A5" s="76" t="s">
        <v>2</v>
      </c>
      <c r="B5" s="293" t="s">
        <v>135</v>
      </c>
      <c r="C5" s="387" t="s">
        <v>248</v>
      </c>
      <c r="D5" s="387"/>
      <c r="E5" s="387"/>
      <c r="F5" s="387"/>
      <c r="G5" s="388"/>
    </row>
    <row r="6" spans="1:7" s="38" customFormat="1" ht="15.75" customHeight="1" x14ac:dyDescent="0.25">
      <c r="A6" s="76" t="s">
        <v>3</v>
      </c>
      <c r="B6" s="293" t="s">
        <v>4</v>
      </c>
      <c r="C6" s="387" t="s">
        <v>279</v>
      </c>
      <c r="D6" s="387"/>
      <c r="E6" s="387"/>
      <c r="F6" s="387"/>
      <c r="G6" s="388"/>
    </row>
    <row r="7" spans="1:7" s="38" customFormat="1" x14ac:dyDescent="0.25">
      <c r="A7" s="76" t="s">
        <v>5</v>
      </c>
      <c r="B7" s="293" t="s">
        <v>295</v>
      </c>
      <c r="C7" s="387">
        <v>12</v>
      </c>
      <c r="D7" s="387"/>
      <c r="E7" s="387"/>
      <c r="F7" s="387"/>
      <c r="G7" s="388"/>
    </row>
    <row r="8" spans="1:7" s="38" customFormat="1" x14ac:dyDescent="0.25">
      <c r="A8" s="347" t="s">
        <v>6</v>
      </c>
      <c r="B8" s="348"/>
      <c r="C8" s="348"/>
      <c r="D8" s="348"/>
      <c r="E8" s="348"/>
      <c r="F8" s="348"/>
      <c r="G8" s="349"/>
    </row>
    <row r="9" spans="1:7" s="38" customFormat="1" x14ac:dyDescent="0.25">
      <c r="A9" s="347" t="s">
        <v>7</v>
      </c>
      <c r="B9" s="348"/>
      <c r="C9" s="348"/>
      <c r="D9" s="348"/>
      <c r="E9" s="348"/>
      <c r="F9" s="348"/>
      <c r="G9" s="349"/>
    </row>
    <row r="10" spans="1:7" s="38" customFormat="1" ht="15.75" customHeight="1" x14ac:dyDescent="0.25">
      <c r="A10" s="347" t="s">
        <v>8</v>
      </c>
      <c r="B10" s="348"/>
      <c r="C10" s="348"/>
      <c r="D10" s="348"/>
      <c r="E10" s="348"/>
      <c r="F10" s="348"/>
      <c r="G10" s="349"/>
    </row>
    <row r="11" spans="1:7" s="38" customFormat="1" ht="30" customHeight="1" x14ac:dyDescent="0.25">
      <c r="A11" s="389" t="s">
        <v>9</v>
      </c>
      <c r="B11" s="390"/>
      <c r="C11" s="390"/>
      <c r="D11" s="390" t="s">
        <v>10</v>
      </c>
      <c r="E11" s="390"/>
      <c r="F11" s="390"/>
      <c r="G11" s="391"/>
    </row>
    <row r="12" spans="1:7" s="38" customFormat="1" ht="30" customHeight="1" x14ac:dyDescent="0.25">
      <c r="A12" s="76">
        <v>1</v>
      </c>
      <c r="B12" s="292" t="s">
        <v>128</v>
      </c>
      <c r="C12" s="380" t="s">
        <v>249</v>
      </c>
      <c r="D12" s="380"/>
      <c r="E12" s="380"/>
      <c r="F12" s="380"/>
      <c r="G12" s="381"/>
    </row>
    <row r="13" spans="1:7" s="38" customFormat="1" ht="30" customHeight="1" x14ac:dyDescent="0.25">
      <c r="A13" s="76">
        <v>2</v>
      </c>
      <c r="B13" s="292" t="s">
        <v>11</v>
      </c>
      <c r="C13" s="392">
        <v>3500.06</v>
      </c>
      <c r="D13" s="392"/>
      <c r="E13" s="392"/>
      <c r="F13" s="392"/>
      <c r="G13" s="393"/>
    </row>
    <row r="14" spans="1:7" s="38" customFormat="1" ht="15.75" customHeight="1" x14ac:dyDescent="0.25">
      <c r="A14" s="76">
        <v>3</v>
      </c>
      <c r="B14" s="292" t="s">
        <v>12</v>
      </c>
      <c r="C14" s="380" t="s">
        <v>252</v>
      </c>
      <c r="D14" s="380"/>
      <c r="E14" s="380"/>
      <c r="F14" s="380"/>
      <c r="G14" s="381"/>
    </row>
    <row r="15" spans="1:7" s="38" customFormat="1" x14ac:dyDescent="0.25">
      <c r="A15" s="76">
        <v>4</v>
      </c>
      <c r="B15" s="69" t="s">
        <v>13</v>
      </c>
      <c r="C15" s="382">
        <v>45673</v>
      </c>
      <c r="D15" s="383"/>
      <c r="E15" s="383"/>
      <c r="F15" s="383"/>
      <c r="G15" s="384"/>
    </row>
    <row r="16" spans="1:7" s="39" customFormat="1" ht="30" customHeight="1" x14ac:dyDescent="0.25">
      <c r="A16" s="345" t="s">
        <v>14</v>
      </c>
      <c r="B16" s="346"/>
      <c r="C16" s="346"/>
      <c r="D16" s="149" t="s">
        <v>307</v>
      </c>
      <c r="E16" s="149" t="s">
        <v>245</v>
      </c>
      <c r="F16" s="149" t="s">
        <v>246</v>
      </c>
      <c r="G16" s="150" t="s">
        <v>247</v>
      </c>
    </row>
    <row r="17" spans="1:7" s="39" customFormat="1" x14ac:dyDescent="0.25">
      <c r="A17" s="294">
        <v>1</v>
      </c>
      <c r="B17" s="363" t="s">
        <v>15</v>
      </c>
      <c r="C17" s="363"/>
      <c r="D17" s="151" t="s">
        <v>10</v>
      </c>
      <c r="E17" s="151" t="s">
        <v>10</v>
      </c>
      <c r="F17" s="151" t="s">
        <v>10</v>
      </c>
      <c r="G17" s="152" t="s">
        <v>10</v>
      </c>
    </row>
    <row r="18" spans="1:7" s="38" customFormat="1" ht="15.75" customHeight="1" x14ac:dyDescent="0.25">
      <c r="A18" s="153" t="s">
        <v>0</v>
      </c>
      <c r="B18" s="154" t="s">
        <v>16</v>
      </c>
      <c r="C18" s="69"/>
      <c r="D18" s="70">
        <f>C13</f>
        <v>3500.06</v>
      </c>
      <c r="E18" s="70">
        <f>C13</f>
        <v>3500.06</v>
      </c>
      <c r="F18" s="70">
        <f>C13</f>
        <v>3500.06</v>
      </c>
      <c r="G18" s="155">
        <f>C13</f>
        <v>3500.06</v>
      </c>
    </row>
    <row r="19" spans="1:7" s="38" customFormat="1" ht="15.75" customHeight="1" x14ac:dyDescent="0.25">
      <c r="A19" s="153" t="s">
        <v>2</v>
      </c>
      <c r="B19" s="154" t="s">
        <v>17</v>
      </c>
      <c r="C19" s="156"/>
      <c r="D19" s="157"/>
      <c r="E19" s="157"/>
      <c r="F19" s="157"/>
      <c r="G19" s="158"/>
    </row>
    <row r="20" spans="1:7" s="38" customFormat="1" ht="15.75" customHeight="1" x14ac:dyDescent="0.25">
      <c r="A20" s="153" t="s">
        <v>3</v>
      </c>
      <c r="B20" s="154" t="s">
        <v>18</v>
      </c>
      <c r="C20" s="159">
        <v>1518</v>
      </c>
      <c r="D20" s="160">
        <f>40%*C20</f>
        <v>607.20000000000005</v>
      </c>
      <c r="E20" s="160">
        <f>40%*C20</f>
        <v>607.20000000000005</v>
      </c>
      <c r="F20" s="160">
        <f>40%*C20</f>
        <v>607.20000000000005</v>
      </c>
      <c r="G20" s="161">
        <f>40%*C20</f>
        <v>607.20000000000005</v>
      </c>
    </row>
    <row r="21" spans="1:7" s="38" customFormat="1" ht="15.75" customHeight="1" x14ac:dyDescent="0.25">
      <c r="A21" s="153" t="s">
        <v>5</v>
      </c>
      <c r="B21" s="154" t="s">
        <v>19</v>
      </c>
      <c r="C21" s="156"/>
      <c r="D21" s="157"/>
      <c r="E21" s="157"/>
      <c r="F21" s="157"/>
      <c r="G21" s="158"/>
    </row>
    <row r="22" spans="1:7" s="38" customFormat="1" ht="15.75" customHeight="1" x14ac:dyDescent="0.25">
      <c r="A22" s="153" t="s">
        <v>20</v>
      </c>
      <c r="B22" s="154" t="s">
        <v>196</v>
      </c>
      <c r="C22" s="156"/>
      <c r="D22" s="157"/>
      <c r="E22" s="157"/>
      <c r="F22" s="157"/>
      <c r="G22" s="158"/>
    </row>
    <row r="23" spans="1:7" s="38" customFormat="1" x14ac:dyDescent="0.25">
      <c r="A23" s="153" t="s">
        <v>21</v>
      </c>
      <c r="B23" s="154" t="s">
        <v>133</v>
      </c>
      <c r="C23" s="162"/>
      <c r="D23" s="159"/>
      <c r="E23" s="159"/>
      <c r="F23" s="159"/>
      <c r="G23" s="163"/>
    </row>
    <row r="24" spans="1:7" s="38" customFormat="1" ht="15.75" customHeight="1" x14ac:dyDescent="0.25">
      <c r="A24" s="153" t="s">
        <v>22</v>
      </c>
      <c r="B24" s="282" t="s">
        <v>134</v>
      </c>
      <c r="C24" s="162"/>
      <c r="D24" s="159"/>
      <c r="E24" s="159"/>
      <c r="F24" s="159"/>
      <c r="G24" s="163"/>
    </row>
    <row r="25" spans="1:7" s="39" customFormat="1" ht="15.75" customHeight="1" x14ac:dyDescent="0.25">
      <c r="A25" s="341" t="s">
        <v>145</v>
      </c>
      <c r="B25" s="342"/>
      <c r="C25" s="342"/>
      <c r="D25" s="164">
        <f>SUM(D18:D24)</f>
        <v>4107.26</v>
      </c>
      <c r="E25" s="164">
        <f>SUM(E18:E24)</f>
        <v>4107.26</v>
      </c>
      <c r="F25" s="164">
        <f>SUM(F18:F24)</f>
        <v>4107.26</v>
      </c>
      <c r="G25" s="165">
        <f>SUM(G18:G24)</f>
        <v>4107.26</v>
      </c>
    </row>
    <row r="26" spans="1:7" s="39" customFormat="1" x14ac:dyDescent="0.25">
      <c r="A26" s="343" t="s">
        <v>48</v>
      </c>
      <c r="B26" s="344"/>
      <c r="C26" s="344"/>
      <c r="D26" s="166"/>
      <c r="E26" s="166"/>
      <c r="F26" s="166"/>
      <c r="G26" s="167"/>
    </row>
    <row r="27" spans="1:7" s="38" customFormat="1" x14ac:dyDescent="0.25">
      <c r="A27" s="290">
        <v>2</v>
      </c>
      <c r="B27" s="364" t="s">
        <v>197</v>
      </c>
      <c r="C27" s="365"/>
      <c r="D27" s="168" t="s">
        <v>10</v>
      </c>
      <c r="E27" s="168" t="s">
        <v>10</v>
      </c>
      <c r="F27" s="168" t="s">
        <v>10</v>
      </c>
      <c r="G27" s="169" t="s">
        <v>10</v>
      </c>
    </row>
    <row r="28" spans="1:7" s="38" customFormat="1" x14ac:dyDescent="0.25">
      <c r="A28" s="170" t="s">
        <v>0</v>
      </c>
      <c r="B28" s="171" t="s">
        <v>28</v>
      </c>
      <c r="C28" s="172">
        <f>1/12</f>
        <v>8.3299999999999999E-2</v>
      </c>
      <c r="D28" s="173">
        <f>(D25)*C28</f>
        <v>342.13</v>
      </c>
      <c r="E28" s="173">
        <f>(E25)*C28</f>
        <v>342.13</v>
      </c>
      <c r="F28" s="173">
        <f>(F25)*C28</f>
        <v>342.13</v>
      </c>
      <c r="G28" s="174">
        <f>(G25)*C28</f>
        <v>342.13</v>
      </c>
    </row>
    <row r="29" spans="1:7" s="38" customFormat="1" x14ac:dyDescent="0.25">
      <c r="A29" s="170" t="s">
        <v>2</v>
      </c>
      <c r="B29" s="171" t="s">
        <v>141</v>
      </c>
      <c r="C29" s="172">
        <v>0.1111</v>
      </c>
      <c r="D29" s="173">
        <f>D25*C29</f>
        <v>456.32</v>
      </c>
      <c r="E29" s="173">
        <f>E25*C29</f>
        <v>456.32</v>
      </c>
      <c r="F29" s="173">
        <f>F25*C29</f>
        <v>456.32</v>
      </c>
      <c r="G29" s="174">
        <f>G25*C29</f>
        <v>456.32</v>
      </c>
    </row>
    <row r="30" spans="1:7" x14ac:dyDescent="0.25">
      <c r="A30" s="361" t="s">
        <v>27</v>
      </c>
      <c r="B30" s="362"/>
      <c r="C30" s="175">
        <f>SUM(C28:C29)</f>
        <v>0.19439999999999999</v>
      </c>
      <c r="D30" s="176">
        <f>SUM(D28:D29)</f>
        <v>798.45</v>
      </c>
      <c r="E30" s="176">
        <f>SUM(E28:E29)</f>
        <v>798.45</v>
      </c>
      <c r="F30" s="176">
        <f>SUM(F28:F29)</f>
        <v>798.45</v>
      </c>
      <c r="G30" s="177">
        <f>SUM(G28:G29)</f>
        <v>798.45</v>
      </c>
    </row>
    <row r="31" spans="1:7" ht="32.25" customHeight="1" x14ac:dyDescent="0.25">
      <c r="A31" s="358" t="s">
        <v>198</v>
      </c>
      <c r="B31" s="359"/>
      <c r="C31" s="359"/>
      <c r="D31" s="359"/>
      <c r="E31" s="359"/>
      <c r="F31" s="359"/>
      <c r="G31" s="360"/>
    </row>
    <row r="32" spans="1:7" x14ac:dyDescent="0.25">
      <c r="A32" s="284" t="s">
        <v>201</v>
      </c>
      <c r="B32" s="356" t="s">
        <v>25</v>
      </c>
      <c r="C32" s="357"/>
      <c r="D32" s="296"/>
      <c r="E32" s="296"/>
      <c r="F32" s="296"/>
      <c r="G32" s="178"/>
    </row>
    <row r="33" spans="1:7" x14ac:dyDescent="0.25">
      <c r="A33" s="170" t="s">
        <v>0</v>
      </c>
      <c r="B33" s="179" t="s">
        <v>296</v>
      </c>
      <c r="C33" s="172">
        <v>0.2</v>
      </c>
      <c r="D33" s="173">
        <f t="shared" ref="D33:D40" si="0">($D$25+D$30)*C33</f>
        <v>981.14</v>
      </c>
      <c r="E33" s="173">
        <f t="shared" ref="E33:E40" si="1">($E$25+E$30)*C33</f>
        <v>981.14</v>
      </c>
      <c r="F33" s="173">
        <f t="shared" ref="F33:F40" si="2">($F$25+F$30)*C33</f>
        <v>981.14</v>
      </c>
      <c r="G33" s="174">
        <f t="shared" ref="G33:G40" si="3">($G$25+G$30)*C33</f>
        <v>981.14</v>
      </c>
    </row>
    <row r="34" spans="1:7" x14ac:dyDescent="0.25">
      <c r="A34" s="170" t="s">
        <v>2</v>
      </c>
      <c r="B34" s="179" t="s">
        <v>297</v>
      </c>
      <c r="C34" s="180">
        <v>2.5000000000000001E-2</v>
      </c>
      <c r="D34" s="173">
        <f t="shared" si="0"/>
        <v>122.64</v>
      </c>
      <c r="E34" s="173">
        <f t="shared" si="1"/>
        <v>122.64</v>
      </c>
      <c r="F34" s="173">
        <f t="shared" si="2"/>
        <v>122.64</v>
      </c>
      <c r="G34" s="174">
        <f t="shared" si="3"/>
        <v>122.64</v>
      </c>
    </row>
    <row r="35" spans="1:7" ht="45" x14ac:dyDescent="0.25">
      <c r="A35" s="170" t="s">
        <v>3</v>
      </c>
      <c r="B35" s="283" t="s">
        <v>298</v>
      </c>
      <c r="C35" s="180">
        <v>0.03</v>
      </c>
      <c r="D35" s="173">
        <f t="shared" si="0"/>
        <v>147.16999999999999</v>
      </c>
      <c r="E35" s="173">
        <f t="shared" si="1"/>
        <v>147.16999999999999</v>
      </c>
      <c r="F35" s="173">
        <f t="shared" si="2"/>
        <v>147.16999999999999</v>
      </c>
      <c r="G35" s="174">
        <f t="shared" si="3"/>
        <v>147.16999999999999</v>
      </c>
    </row>
    <row r="36" spans="1:7" x14ac:dyDescent="0.25">
      <c r="A36" s="170" t="s">
        <v>5</v>
      </c>
      <c r="B36" s="179" t="s">
        <v>299</v>
      </c>
      <c r="C36" s="180">
        <v>1.4999999999999999E-2</v>
      </c>
      <c r="D36" s="173">
        <f t="shared" si="0"/>
        <v>73.59</v>
      </c>
      <c r="E36" s="173">
        <f t="shared" si="1"/>
        <v>73.59</v>
      </c>
      <c r="F36" s="173">
        <f t="shared" si="2"/>
        <v>73.59</v>
      </c>
      <c r="G36" s="174">
        <f t="shared" si="3"/>
        <v>73.59</v>
      </c>
    </row>
    <row r="37" spans="1:7" x14ac:dyDescent="0.25">
      <c r="A37" s="170" t="s">
        <v>20</v>
      </c>
      <c r="B37" s="179" t="s">
        <v>300</v>
      </c>
      <c r="C37" s="180">
        <v>0.01</v>
      </c>
      <c r="D37" s="173">
        <f t="shared" si="0"/>
        <v>49.06</v>
      </c>
      <c r="E37" s="173">
        <f t="shared" si="1"/>
        <v>49.06</v>
      </c>
      <c r="F37" s="173">
        <f t="shared" si="2"/>
        <v>49.06</v>
      </c>
      <c r="G37" s="174">
        <f t="shared" si="3"/>
        <v>49.06</v>
      </c>
    </row>
    <row r="38" spans="1:7" x14ac:dyDescent="0.25">
      <c r="A38" s="170" t="s">
        <v>21</v>
      </c>
      <c r="B38" s="181" t="s">
        <v>200</v>
      </c>
      <c r="C38" s="180">
        <v>6.0000000000000001E-3</v>
      </c>
      <c r="D38" s="173">
        <f t="shared" si="0"/>
        <v>29.43</v>
      </c>
      <c r="E38" s="173">
        <f t="shared" si="1"/>
        <v>29.43</v>
      </c>
      <c r="F38" s="173">
        <f t="shared" si="2"/>
        <v>29.43</v>
      </c>
      <c r="G38" s="174">
        <f t="shared" si="3"/>
        <v>29.43</v>
      </c>
    </row>
    <row r="39" spans="1:7" ht="30.75" customHeight="1" x14ac:dyDescent="0.25">
      <c r="A39" s="170" t="s">
        <v>22</v>
      </c>
      <c r="B39" s="283" t="s">
        <v>301</v>
      </c>
      <c r="C39" s="180">
        <v>2E-3</v>
      </c>
      <c r="D39" s="173">
        <f t="shared" si="0"/>
        <v>9.81</v>
      </c>
      <c r="E39" s="173">
        <f t="shared" si="1"/>
        <v>9.81</v>
      </c>
      <c r="F39" s="173">
        <f t="shared" si="2"/>
        <v>9.81</v>
      </c>
      <c r="G39" s="174">
        <f t="shared" si="3"/>
        <v>9.81</v>
      </c>
    </row>
    <row r="40" spans="1:7" x14ac:dyDescent="0.25">
      <c r="A40" s="170" t="s">
        <v>26</v>
      </c>
      <c r="B40" s="182" t="s">
        <v>199</v>
      </c>
      <c r="C40" s="180">
        <v>0.08</v>
      </c>
      <c r="D40" s="173">
        <f t="shared" si="0"/>
        <v>392.46</v>
      </c>
      <c r="E40" s="173">
        <f t="shared" si="1"/>
        <v>392.46</v>
      </c>
      <c r="F40" s="173">
        <f t="shared" si="2"/>
        <v>392.46</v>
      </c>
      <c r="G40" s="174">
        <f t="shared" si="3"/>
        <v>392.46</v>
      </c>
    </row>
    <row r="41" spans="1:7" s="30" customFormat="1" x14ac:dyDescent="0.25">
      <c r="A41" s="361" t="s">
        <v>27</v>
      </c>
      <c r="B41" s="362"/>
      <c r="C41" s="183">
        <f>SUM(C33:C40)</f>
        <v>0.36799999999999999</v>
      </c>
      <c r="D41" s="184">
        <f>SUM(D33:D40)</f>
        <v>1805.3</v>
      </c>
      <c r="E41" s="184">
        <f>SUM(E33:E40)</f>
        <v>1805.3</v>
      </c>
      <c r="F41" s="184">
        <f>SUM(F33:F40)</f>
        <v>1805.3</v>
      </c>
      <c r="G41" s="185">
        <f>SUM(G33:G40)</f>
        <v>1805.3</v>
      </c>
    </row>
    <row r="42" spans="1:7" s="30" customFormat="1" x14ac:dyDescent="0.25">
      <c r="A42" s="186" t="s">
        <v>202</v>
      </c>
      <c r="B42" s="371" t="s">
        <v>203</v>
      </c>
      <c r="C42" s="372"/>
      <c r="D42" s="297"/>
      <c r="E42" s="187"/>
      <c r="F42" s="297"/>
      <c r="G42" s="188"/>
    </row>
    <row r="43" spans="1:7" s="30" customFormat="1" x14ac:dyDescent="0.25">
      <c r="A43" s="189" t="s">
        <v>0</v>
      </c>
      <c r="B43" s="190" t="s">
        <v>137</v>
      </c>
      <c r="C43" s="191"/>
      <c r="D43" s="192">
        <v>0</v>
      </c>
      <c r="E43" s="192">
        <v>0</v>
      </c>
      <c r="F43" s="192">
        <v>0</v>
      </c>
      <c r="G43" s="193">
        <v>0</v>
      </c>
    </row>
    <row r="44" spans="1:7" s="30" customFormat="1" x14ac:dyDescent="0.25">
      <c r="A44" s="194" t="s">
        <v>2</v>
      </c>
      <c r="B44" s="282" t="s">
        <v>204</v>
      </c>
      <c r="C44" s="160">
        <v>626.94000000000005</v>
      </c>
      <c r="D44" s="70">
        <f>C44-(C44*0.99%)</f>
        <v>620.73</v>
      </c>
      <c r="E44" s="70">
        <f>C44-(C44*0.99%)</f>
        <v>620.73</v>
      </c>
      <c r="F44" s="70">
        <f>C44-(C44*0.99%)</f>
        <v>620.73</v>
      </c>
      <c r="G44" s="155">
        <f>C44-(C44*0.99%)</f>
        <v>620.73</v>
      </c>
    </row>
    <row r="45" spans="1:7" s="30" customFormat="1" x14ac:dyDescent="0.25">
      <c r="A45" s="170" t="s">
        <v>5</v>
      </c>
      <c r="B45" s="289" t="s">
        <v>129</v>
      </c>
      <c r="C45" s="195"/>
      <c r="D45" s="196">
        <v>0</v>
      </c>
      <c r="E45" s="196">
        <v>0</v>
      </c>
      <c r="F45" s="196">
        <v>0</v>
      </c>
      <c r="G45" s="197">
        <v>0</v>
      </c>
    </row>
    <row r="46" spans="1:7" s="30" customFormat="1" x14ac:dyDescent="0.25">
      <c r="A46" s="170" t="s">
        <v>20</v>
      </c>
      <c r="B46" s="289" t="s">
        <v>130</v>
      </c>
      <c r="C46" s="172">
        <v>0.5</v>
      </c>
      <c r="D46" s="196">
        <f>D18*C46*0.0199*2/12</f>
        <v>5.8</v>
      </c>
      <c r="E46" s="196">
        <f>E18*C46*0.0199*2/12</f>
        <v>5.8</v>
      </c>
      <c r="F46" s="196">
        <f>F18*C46*0.0199*2/12</f>
        <v>5.8</v>
      </c>
      <c r="G46" s="197">
        <f>G18*C46*0.0199*2/12</f>
        <v>5.8</v>
      </c>
    </row>
    <row r="47" spans="1:7" s="30" customFormat="1" x14ac:dyDescent="0.25">
      <c r="A47" s="170" t="s">
        <v>21</v>
      </c>
      <c r="B47" s="289" t="s">
        <v>131</v>
      </c>
      <c r="C47" s="173"/>
      <c r="D47" s="299">
        <v>50.76</v>
      </c>
      <c r="E47" s="299">
        <v>50.76</v>
      </c>
      <c r="F47" s="299">
        <v>50.76</v>
      </c>
      <c r="G47" s="300">
        <v>50.76</v>
      </c>
    </row>
    <row r="48" spans="1:7" s="30" customFormat="1" ht="15.75" customHeight="1" x14ac:dyDescent="0.25">
      <c r="A48" s="361" t="s">
        <v>23</v>
      </c>
      <c r="B48" s="362"/>
      <c r="C48" s="362"/>
      <c r="D48" s="198">
        <f>SUM(D43:D47)</f>
        <v>677.29</v>
      </c>
      <c r="E48" s="198">
        <f>SUM(E43:E47)</f>
        <v>677.29</v>
      </c>
      <c r="F48" s="198">
        <f>SUM(F43:F47)</f>
        <v>677.29</v>
      </c>
      <c r="G48" s="199">
        <f>SUM(G43:G47)</f>
        <v>677.29</v>
      </c>
    </row>
    <row r="49" spans="1:7" s="30" customFormat="1" ht="15.75" customHeight="1" x14ac:dyDescent="0.25">
      <c r="A49" s="343" t="s">
        <v>144</v>
      </c>
      <c r="B49" s="344"/>
      <c r="C49" s="344"/>
      <c r="D49" s="166"/>
      <c r="E49" s="166"/>
      <c r="F49" s="166"/>
      <c r="G49" s="167"/>
    </row>
    <row r="50" spans="1:7" s="30" customFormat="1" ht="15.75" customHeight="1" x14ac:dyDescent="0.25">
      <c r="A50" s="294" t="s">
        <v>136</v>
      </c>
      <c r="B50" s="200" t="s">
        <v>138</v>
      </c>
      <c r="C50" s="295"/>
      <c r="D50" s="151">
        <f>D30</f>
        <v>798.45</v>
      </c>
      <c r="E50" s="151">
        <f>E30</f>
        <v>798.45</v>
      </c>
      <c r="F50" s="151">
        <f>F30</f>
        <v>798.45</v>
      </c>
      <c r="G50" s="152">
        <f>G30</f>
        <v>798.45</v>
      </c>
    </row>
    <row r="51" spans="1:7" s="30" customFormat="1" ht="15.75" customHeight="1" x14ac:dyDescent="0.25">
      <c r="A51" s="294" t="s">
        <v>201</v>
      </c>
      <c r="B51" s="200" t="s">
        <v>139</v>
      </c>
      <c r="C51" s="295"/>
      <c r="D51" s="151">
        <f>D41</f>
        <v>1805.3</v>
      </c>
      <c r="E51" s="151">
        <f>E41</f>
        <v>1805.3</v>
      </c>
      <c r="F51" s="151">
        <f>F41</f>
        <v>1805.3</v>
      </c>
      <c r="G51" s="152">
        <f>G41</f>
        <v>1805.3</v>
      </c>
    </row>
    <row r="52" spans="1:7" s="30" customFormat="1" ht="15.75" customHeight="1" x14ac:dyDescent="0.25">
      <c r="A52" s="294" t="s">
        <v>202</v>
      </c>
      <c r="B52" s="200" t="s">
        <v>140</v>
      </c>
      <c r="C52" s="295"/>
      <c r="D52" s="151">
        <f>D48</f>
        <v>677.29</v>
      </c>
      <c r="E52" s="151">
        <f>E48</f>
        <v>677.29</v>
      </c>
      <c r="F52" s="151">
        <f>F48</f>
        <v>677.29</v>
      </c>
      <c r="G52" s="152">
        <f>G48</f>
        <v>677.29</v>
      </c>
    </row>
    <row r="53" spans="1:7" s="30" customFormat="1" ht="15.75" customHeight="1" x14ac:dyDescent="0.25">
      <c r="A53" s="341" t="s">
        <v>146</v>
      </c>
      <c r="B53" s="342"/>
      <c r="C53" s="342"/>
      <c r="D53" s="164">
        <f>SUM(D50:D52)</f>
        <v>3281.04</v>
      </c>
      <c r="E53" s="164">
        <f>SUM(E50:E52)</f>
        <v>3281.04</v>
      </c>
      <c r="F53" s="164">
        <f>SUM(F50:F52)</f>
        <v>3281.04</v>
      </c>
      <c r="G53" s="165">
        <f>SUM(G50:G52)</f>
        <v>3281.04</v>
      </c>
    </row>
    <row r="54" spans="1:7" s="30" customFormat="1" ht="15.75" customHeight="1" x14ac:dyDescent="0.25">
      <c r="A54" s="343" t="s">
        <v>155</v>
      </c>
      <c r="B54" s="344"/>
      <c r="C54" s="344"/>
      <c r="D54" s="166"/>
      <c r="E54" s="166"/>
      <c r="F54" s="166"/>
      <c r="G54" s="167"/>
    </row>
    <row r="55" spans="1:7" s="30" customFormat="1" ht="15.75" customHeight="1" x14ac:dyDescent="0.25">
      <c r="A55" s="290" t="s">
        <v>192</v>
      </c>
      <c r="B55" s="337" t="s">
        <v>32</v>
      </c>
      <c r="C55" s="338"/>
      <c r="D55" s="168" t="s">
        <v>10</v>
      </c>
      <c r="E55" s="168" t="s">
        <v>10</v>
      </c>
      <c r="F55" s="168" t="s">
        <v>10</v>
      </c>
      <c r="G55" s="169" t="s">
        <v>10</v>
      </c>
    </row>
    <row r="56" spans="1:7" s="30" customFormat="1" ht="15.75" customHeight="1" x14ac:dyDescent="0.25">
      <c r="A56" s="170" t="s">
        <v>0</v>
      </c>
      <c r="B56" s="289" t="s">
        <v>33</v>
      </c>
      <c r="C56" s="172">
        <v>4.5999999999999999E-3</v>
      </c>
      <c r="D56" s="173">
        <f>D$25*C56</f>
        <v>18.89</v>
      </c>
      <c r="E56" s="173">
        <f>E$25*C56</f>
        <v>18.89</v>
      </c>
      <c r="F56" s="173">
        <f>F$25*C56</f>
        <v>18.89</v>
      </c>
      <c r="G56" s="174">
        <f>G$25*C56</f>
        <v>18.89</v>
      </c>
    </row>
    <row r="57" spans="1:7" s="30" customFormat="1" ht="15.75" customHeight="1" x14ac:dyDescent="0.25">
      <c r="A57" s="170" t="s">
        <v>2</v>
      </c>
      <c r="B57" s="289" t="s">
        <v>34</v>
      </c>
      <c r="C57" s="172">
        <v>4.0000000000000002E-4</v>
      </c>
      <c r="D57" s="173">
        <f>D$25*C57</f>
        <v>1.64</v>
      </c>
      <c r="E57" s="173">
        <f>E$25*C57</f>
        <v>1.64</v>
      </c>
      <c r="F57" s="173">
        <f>F$25*C57</f>
        <v>1.64</v>
      </c>
      <c r="G57" s="174">
        <f>G$25*C57</f>
        <v>1.64</v>
      </c>
    </row>
    <row r="58" spans="1:7" s="30" customFormat="1" ht="15.75" customHeight="1" x14ac:dyDescent="0.25">
      <c r="A58" s="170" t="s">
        <v>3</v>
      </c>
      <c r="B58" s="289" t="s">
        <v>35</v>
      </c>
      <c r="C58" s="172">
        <v>1.9400000000000001E-2</v>
      </c>
      <c r="D58" s="173">
        <f>D$25*C58</f>
        <v>79.680000000000007</v>
      </c>
      <c r="E58" s="173">
        <f>E$25*C58</f>
        <v>79.680000000000007</v>
      </c>
      <c r="F58" s="173">
        <f>F$25*C58</f>
        <v>79.680000000000007</v>
      </c>
      <c r="G58" s="174">
        <f>G$25*C58</f>
        <v>79.680000000000007</v>
      </c>
    </row>
    <row r="59" spans="1:7" s="30" customFormat="1" ht="30" customHeight="1" x14ac:dyDescent="0.25">
      <c r="A59" s="170" t="s">
        <v>5</v>
      </c>
      <c r="B59" s="283" t="s">
        <v>304</v>
      </c>
      <c r="C59" s="172">
        <v>7.7000000000000002E-3</v>
      </c>
      <c r="D59" s="173">
        <f>D$25*C59</f>
        <v>31.63</v>
      </c>
      <c r="E59" s="173">
        <f>E$25*C59</f>
        <v>31.63</v>
      </c>
      <c r="F59" s="173">
        <f>F$25*C59</f>
        <v>31.63</v>
      </c>
      <c r="G59" s="174">
        <f>G$25*C59</f>
        <v>31.63</v>
      </c>
    </row>
    <row r="60" spans="1:7" s="30" customFormat="1" ht="32.25" customHeight="1" x14ac:dyDescent="0.25">
      <c r="A60" s="170" t="s">
        <v>20</v>
      </c>
      <c r="B60" s="289" t="s">
        <v>205</v>
      </c>
      <c r="C60" s="172">
        <v>0.04</v>
      </c>
      <c r="D60" s="173">
        <f>D$25*C60</f>
        <v>164.29</v>
      </c>
      <c r="E60" s="173">
        <f>E$25*C60</f>
        <v>164.29</v>
      </c>
      <c r="F60" s="173">
        <f>F$25*C60</f>
        <v>164.29</v>
      </c>
      <c r="G60" s="174">
        <f>G$25*C60</f>
        <v>164.29</v>
      </c>
    </row>
    <row r="61" spans="1:7" s="30" customFormat="1" ht="15.75" customHeight="1" x14ac:dyDescent="0.25">
      <c r="A61" s="341" t="s">
        <v>147</v>
      </c>
      <c r="B61" s="342"/>
      <c r="C61" s="280">
        <f>SUM(C56:C60)</f>
        <v>7.2099999999999997E-2</v>
      </c>
      <c r="D61" s="164">
        <f>SUM(D56:D60)</f>
        <v>296.13</v>
      </c>
      <c r="E61" s="164">
        <f>SUM(E56:E60)</f>
        <v>296.13</v>
      </c>
      <c r="F61" s="164">
        <f>SUM(F56:F60)</f>
        <v>296.13</v>
      </c>
      <c r="G61" s="165">
        <f>SUM(G56:G60)</f>
        <v>296.13</v>
      </c>
    </row>
    <row r="62" spans="1:7" s="30" customFormat="1" x14ac:dyDescent="0.25">
      <c r="A62" s="343" t="s">
        <v>156</v>
      </c>
      <c r="B62" s="344"/>
      <c r="C62" s="344"/>
      <c r="D62" s="166"/>
      <c r="E62" s="166"/>
      <c r="F62" s="166"/>
      <c r="G62" s="167"/>
    </row>
    <row r="63" spans="1:7" s="30" customFormat="1" x14ac:dyDescent="0.25">
      <c r="A63" s="290" t="s">
        <v>191</v>
      </c>
      <c r="B63" s="374" t="s">
        <v>36</v>
      </c>
      <c r="C63" s="374"/>
      <c r="D63" s="168" t="s">
        <v>10</v>
      </c>
      <c r="E63" s="168" t="s">
        <v>10</v>
      </c>
      <c r="F63" s="168" t="s">
        <v>10</v>
      </c>
      <c r="G63" s="169" t="s">
        <v>10</v>
      </c>
    </row>
    <row r="64" spans="1:7" s="30" customFormat="1" x14ac:dyDescent="0.25">
      <c r="A64" s="170" t="s">
        <v>0</v>
      </c>
      <c r="B64" s="298" t="s">
        <v>184</v>
      </c>
      <c r="C64" s="172">
        <f>C29/12</f>
        <v>9.2999999999999992E-3</v>
      </c>
      <c r="D64" s="173">
        <f t="shared" ref="D64:D70" si="4">(D$25+D$53+D$61+D$85)*C64</f>
        <v>71.78</v>
      </c>
      <c r="E64" s="173">
        <f t="shared" ref="E64:E70" si="5">(E$25+E$53+E$61+E$85)*C64</f>
        <v>71.78</v>
      </c>
      <c r="F64" s="173">
        <f t="shared" ref="F64:F70" si="6">(F$25+F$53+F$61+F$85)*C64</f>
        <v>71.78</v>
      </c>
      <c r="G64" s="174">
        <f t="shared" ref="G64:G70" si="7">(G$25+G$53+G$61+G$85)*C64</f>
        <v>71.78</v>
      </c>
    </row>
    <row r="65" spans="1:7" s="30" customFormat="1" x14ac:dyDescent="0.25">
      <c r="A65" s="170" t="s">
        <v>2</v>
      </c>
      <c r="B65" s="298" t="s">
        <v>185</v>
      </c>
      <c r="C65" s="172">
        <v>1.3899999999999999E-2</v>
      </c>
      <c r="D65" s="173">
        <f t="shared" si="4"/>
        <v>107.29</v>
      </c>
      <c r="E65" s="173">
        <f t="shared" si="5"/>
        <v>107.29</v>
      </c>
      <c r="F65" s="173">
        <f t="shared" si="6"/>
        <v>107.29</v>
      </c>
      <c r="G65" s="174">
        <f t="shared" si="7"/>
        <v>107.29</v>
      </c>
    </row>
    <row r="66" spans="1:7" s="30" customFormat="1" x14ac:dyDescent="0.25">
      <c r="A66" s="170" t="s">
        <v>3</v>
      </c>
      <c r="B66" s="298" t="s">
        <v>188</v>
      </c>
      <c r="C66" s="172">
        <v>1.2999999999999999E-3</v>
      </c>
      <c r="D66" s="173">
        <f t="shared" si="4"/>
        <v>10.029999999999999</v>
      </c>
      <c r="E66" s="173">
        <f t="shared" si="5"/>
        <v>10.029999999999999</v>
      </c>
      <c r="F66" s="173">
        <f t="shared" si="6"/>
        <v>10.029999999999999</v>
      </c>
      <c r="G66" s="174">
        <f t="shared" si="7"/>
        <v>10.029999999999999</v>
      </c>
    </row>
    <row r="67" spans="1:7" s="30" customFormat="1" x14ac:dyDescent="0.25">
      <c r="A67" s="170" t="s">
        <v>5</v>
      </c>
      <c r="B67" s="298" t="s">
        <v>186</v>
      </c>
      <c r="C67" s="172">
        <v>2.0000000000000001E-4</v>
      </c>
      <c r="D67" s="173">
        <f t="shared" si="4"/>
        <v>1.54</v>
      </c>
      <c r="E67" s="173">
        <f t="shared" si="5"/>
        <v>1.54</v>
      </c>
      <c r="F67" s="173">
        <f t="shared" si="6"/>
        <v>1.54</v>
      </c>
      <c r="G67" s="174">
        <f t="shared" si="7"/>
        <v>1.54</v>
      </c>
    </row>
    <row r="68" spans="1:7" s="30" customFormat="1" x14ac:dyDescent="0.25">
      <c r="A68" s="170" t="s">
        <v>20</v>
      </c>
      <c r="B68" s="298" t="s">
        <v>291</v>
      </c>
      <c r="C68" s="172">
        <v>2.8E-3</v>
      </c>
      <c r="D68" s="173">
        <f t="shared" si="4"/>
        <v>21.61</v>
      </c>
      <c r="E68" s="173">
        <f t="shared" si="5"/>
        <v>21.61</v>
      </c>
      <c r="F68" s="173">
        <f t="shared" si="6"/>
        <v>21.61</v>
      </c>
      <c r="G68" s="174">
        <f t="shared" si="7"/>
        <v>21.61</v>
      </c>
    </row>
    <row r="69" spans="1:7" s="30" customFormat="1" x14ac:dyDescent="0.25">
      <c r="A69" s="170" t="s">
        <v>21</v>
      </c>
      <c r="B69" s="298" t="s">
        <v>187</v>
      </c>
      <c r="C69" s="172">
        <v>2.9999999999999997E-4</v>
      </c>
      <c r="D69" s="173">
        <f t="shared" si="4"/>
        <v>2.3199999999999998</v>
      </c>
      <c r="E69" s="173">
        <f t="shared" si="5"/>
        <v>2.3199999999999998</v>
      </c>
      <c r="F69" s="173">
        <f t="shared" si="6"/>
        <v>2.3199999999999998</v>
      </c>
      <c r="G69" s="174">
        <f t="shared" si="7"/>
        <v>2.3199999999999998</v>
      </c>
    </row>
    <row r="70" spans="1:7" s="30" customFormat="1" ht="15.75" customHeight="1" x14ac:dyDescent="0.25">
      <c r="A70" s="170" t="s">
        <v>22</v>
      </c>
      <c r="B70" s="289" t="s">
        <v>189</v>
      </c>
      <c r="C70" s="172">
        <v>0</v>
      </c>
      <c r="D70" s="173">
        <f t="shared" si="4"/>
        <v>0</v>
      </c>
      <c r="E70" s="173">
        <f t="shared" si="5"/>
        <v>0</v>
      </c>
      <c r="F70" s="173">
        <f t="shared" si="6"/>
        <v>0</v>
      </c>
      <c r="G70" s="174">
        <f t="shared" si="7"/>
        <v>0</v>
      </c>
    </row>
    <row r="71" spans="1:7" s="30" customFormat="1" x14ac:dyDescent="0.25">
      <c r="A71" s="361" t="s">
        <v>29</v>
      </c>
      <c r="B71" s="362"/>
      <c r="C71" s="183">
        <f>SUM(C64:C70)</f>
        <v>2.7799999999999998E-2</v>
      </c>
      <c r="D71" s="184">
        <f>SUM(D64:D70)</f>
        <v>214.57</v>
      </c>
      <c r="E71" s="184">
        <f>SUM(E64:E70)</f>
        <v>214.57</v>
      </c>
      <c r="F71" s="184">
        <f>SUM(F64:F70)</f>
        <v>214.57</v>
      </c>
      <c r="G71" s="185">
        <f>SUM(G64:G70)</f>
        <v>214.57</v>
      </c>
    </row>
    <row r="72" spans="1:7" s="30" customFormat="1" x14ac:dyDescent="0.25">
      <c r="A72" s="294"/>
      <c r="B72" s="295"/>
      <c r="C72" s="201"/>
      <c r="D72" s="202"/>
      <c r="E72" s="202"/>
      <c r="F72" s="201"/>
      <c r="G72" s="203"/>
    </row>
    <row r="73" spans="1:7" s="30" customFormat="1" x14ac:dyDescent="0.25">
      <c r="A73" s="294"/>
      <c r="B73" s="363" t="s">
        <v>193</v>
      </c>
      <c r="C73" s="373"/>
      <c r="D73" s="168" t="s">
        <v>10</v>
      </c>
      <c r="E73" s="168" t="s">
        <v>10</v>
      </c>
      <c r="F73" s="168" t="s">
        <v>10</v>
      </c>
      <c r="G73" s="169" t="s">
        <v>10</v>
      </c>
    </row>
    <row r="74" spans="1:7" s="30" customFormat="1" x14ac:dyDescent="0.25">
      <c r="A74" s="194" t="s">
        <v>0</v>
      </c>
      <c r="B74" s="282" t="s">
        <v>194</v>
      </c>
      <c r="C74" s="201">
        <v>0</v>
      </c>
      <c r="D74" s="202">
        <f>$C$24*C74</f>
        <v>0</v>
      </c>
      <c r="E74" s="202">
        <f>$C$24*C74</f>
        <v>0</v>
      </c>
      <c r="F74" s="202">
        <f>$C$24*C74</f>
        <v>0</v>
      </c>
      <c r="G74" s="204">
        <f>$C$24*C74</f>
        <v>0</v>
      </c>
    </row>
    <row r="75" spans="1:7" s="30" customFormat="1" ht="15.75" customHeight="1" x14ac:dyDescent="0.25">
      <c r="A75" s="361" t="s">
        <v>27</v>
      </c>
      <c r="B75" s="362"/>
      <c r="C75" s="205">
        <v>0</v>
      </c>
      <c r="D75" s="58">
        <f>D74</f>
        <v>0</v>
      </c>
      <c r="E75" s="58">
        <f>E74</f>
        <v>0</v>
      </c>
      <c r="F75" s="58">
        <f>F74</f>
        <v>0</v>
      </c>
      <c r="G75" s="59">
        <f>G74</f>
        <v>0</v>
      </c>
    </row>
    <row r="76" spans="1:7" s="30" customFormat="1" ht="15.75" customHeight="1" x14ac:dyDescent="0.25">
      <c r="A76" s="343" t="s">
        <v>30</v>
      </c>
      <c r="B76" s="344"/>
      <c r="C76" s="344"/>
      <c r="D76" s="166"/>
      <c r="E76" s="166"/>
      <c r="F76" s="166"/>
      <c r="G76" s="167"/>
    </row>
    <row r="77" spans="1:7" s="30" customFormat="1" ht="15.75" customHeight="1" x14ac:dyDescent="0.25">
      <c r="A77" s="375" t="s">
        <v>195</v>
      </c>
      <c r="B77" s="376"/>
      <c r="C77" s="376"/>
      <c r="D77" s="206"/>
      <c r="E77" s="206"/>
      <c r="F77" s="206"/>
      <c r="G77" s="207"/>
    </row>
    <row r="78" spans="1:7" s="30" customFormat="1" ht="15.75" customHeight="1" x14ac:dyDescent="0.25">
      <c r="A78" s="290">
        <v>4</v>
      </c>
      <c r="B78" s="337" t="s">
        <v>206</v>
      </c>
      <c r="C78" s="338"/>
      <c r="D78" s="168" t="s">
        <v>10</v>
      </c>
      <c r="E78" s="168" t="s">
        <v>10</v>
      </c>
      <c r="F78" s="168" t="s">
        <v>10</v>
      </c>
      <c r="G78" s="169" t="s">
        <v>10</v>
      </c>
    </row>
    <row r="79" spans="1:7" s="30" customFormat="1" ht="15.75" customHeight="1" x14ac:dyDescent="0.25">
      <c r="A79" s="170" t="s">
        <v>191</v>
      </c>
      <c r="B79" s="289" t="s">
        <v>190</v>
      </c>
      <c r="C79" s="172">
        <f t="shared" ref="C79" si="8">C71</f>
        <v>2.7799999999999998E-2</v>
      </c>
      <c r="D79" s="173">
        <f>D71</f>
        <v>214.57</v>
      </c>
      <c r="E79" s="173">
        <f>E71</f>
        <v>214.57</v>
      </c>
      <c r="F79" s="173">
        <f>F71</f>
        <v>214.57</v>
      </c>
      <c r="G79" s="174">
        <f>G71</f>
        <v>214.57</v>
      </c>
    </row>
    <row r="80" spans="1:7" s="30" customFormat="1" ht="15.75" customHeight="1" x14ac:dyDescent="0.25">
      <c r="A80" s="170" t="s">
        <v>207</v>
      </c>
      <c r="B80" s="289" t="s">
        <v>193</v>
      </c>
      <c r="C80" s="172">
        <v>0</v>
      </c>
      <c r="D80" s="173">
        <f>(D$25+D$53+D$61)*C80</f>
        <v>0</v>
      </c>
      <c r="E80" s="173">
        <f>(E$25+E$53+E$61)*C80</f>
        <v>0</v>
      </c>
      <c r="F80" s="173">
        <f>(F$25+F$53+F$61)*C80</f>
        <v>0</v>
      </c>
      <c r="G80" s="174">
        <f>(G$25+G$53+G$61)*C80</f>
        <v>0</v>
      </c>
    </row>
    <row r="81" spans="1:7" s="30" customFormat="1" ht="15.75" customHeight="1" x14ac:dyDescent="0.25">
      <c r="A81" s="361" t="s">
        <v>27</v>
      </c>
      <c r="B81" s="362"/>
      <c r="C81" s="175">
        <f t="shared" ref="C81" si="9">SUM(C79:C80)</f>
        <v>2.7799999999999998E-2</v>
      </c>
      <c r="D81" s="176">
        <f>SUM(D79:D80)</f>
        <v>214.57</v>
      </c>
      <c r="E81" s="176">
        <f>SUM(E79:E80)</f>
        <v>214.57</v>
      </c>
      <c r="F81" s="176">
        <f>SUM(F79:F80)</f>
        <v>214.57</v>
      </c>
      <c r="G81" s="177">
        <f>SUM(G79:G80)</f>
        <v>214.57</v>
      </c>
    </row>
    <row r="82" spans="1:7" s="30" customFormat="1" ht="15.75" customHeight="1" x14ac:dyDescent="0.25">
      <c r="A82" s="341" t="s">
        <v>148</v>
      </c>
      <c r="B82" s="342"/>
      <c r="C82" s="342"/>
      <c r="D82" s="164">
        <f>SUM(D75+D81)</f>
        <v>214.57</v>
      </c>
      <c r="E82" s="164">
        <f>SUM(E75+E81)</f>
        <v>214.57</v>
      </c>
      <c r="F82" s="164">
        <f>SUM(F75+F81)</f>
        <v>214.57</v>
      </c>
      <c r="G82" s="165">
        <f>SUM(G75+G81)</f>
        <v>214.57</v>
      </c>
    </row>
    <row r="83" spans="1:7" s="30" customFormat="1" ht="15.75" customHeight="1" x14ac:dyDescent="0.25">
      <c r="A83" s="339" t="s">
        <v>157</v>
      </c>
      <c r="B83" s="340"/>
      <c r="C83" s="340"/>
      <c r="D83" s="208"/>
      <c r="E83" s="208"/>
      <c r="F83" s="208"/>
      <c r="G83" s="209"/>
    </row>
    <row r="84" spans="1:7" s="30" customFormat="1" ht="15.75" customHeight="1" x14ac:dyDescent="0.25">
      <c r="A84" s="290">
        <v>5</v>
      </c>
      <c r="B84" s="337" t="s">
        <v>24</v>
      </c>
      <c r="C84" s="338"/>
      <c r="D84" s="168" t="s">
        <v>10</v>
      </c>
      <c r="E84" s="168" t="s">
        <v>10</v>
      </c>
      <c r="F84" s="168" t="s">
        <v>10</v>
      </c>
      <c r="G84" s="169" t="s">
        <v>10</v>
      </c>
    </row>
    <row r="85" spans="1:7" s="30" customFormat="1" ht="15.75" customHeight="1" x14ac:dyDescent="0.25">
      <c r="A85" s="170" t="s">
        <v>0</v>
      </c>
      <c r="B85" s="336" t="s">
        <v>208</v>
      </c>
      <c r="C85" s="336"/>
      <c r="D85" s="210">
        <f>Uniformes!H7</f>
        <v>33.93</v>
      </c>
      <c r="E85" s="210">
        <f>Uniformes!H7</f>
        <v>33.93</v>
      </c>
      <c r="F85" s="210">
        <f>Uniformes!H7</f>
        <v>33.93</v>
      </c>
      <c r="G85" s="211">
        <f>Uniformes!H7</f>
        <v>33.93</v>
      </c>
    </row>
    <row r="86" spans="1:7" s="30" customFormat="1" ht="15.75" customHeight="1" x14ac:dyDescent="0.25">
      <c r="A86" s="170" t="s">
        <v>2</v>
      </c>
      <c r="B86" s="336" t="s">
        <v>209</v>
      </c>
      <c r="C86" s="336"/>
      <c r="D86" s="210">
        <f>Materiais!H18</f>
        <v>117.96</v>
      </c>
      <c r="E86" s="210">
        <f>Materiais!H19</f>
        <v>117.96</v>
      </c>
      <c r="F86" s="210">
        <f>Materiais!H20</f>
        <v>58.98</v>
      </c>
      <c r="G86" s="211">
        <f>Materiais!H21</f>
        <v>40.090000000000003</v>
      </c>
    </row>
    <row r="87" spans="1:7" s="30" customFormat="1" ht="15.75" customHeight="1" x14ac:dyDescent="0.25">
      <c r="A87" s="170" t="s">
        <v>3</v>
      </c>
      <c r="B87" s="336" t="s">
        <v>179</v>
      </c>
      <c r="C87" s="336"/>
      <c r="D87" s="210">
        <f>Equipamentos!H18</f>
        <v>2215.94</v>
      </c>
      <c r="E87" s="210">
        <f>Equipamentos!H19</f>
        <v>2215.94</v>
      </c>
      <c r="F87" s="210">
        <f>Equipamentos!H20</f>
        <v>1107.97</v>
      </c>
      <c r="G87" s="211">
        <f>Equipamentos!H21</f>
        <v>765.63</v>
      </c>
    </row>
    <row r="88" spans="1:7" s="30" customFormat="1" ht="15.75" customHeight="1" x14ac:dyDescent="0.25">
      <c r="A88" s="170" t="s">
        <v>5</v>
      </c>
      <c r="B88" s="336" t="s">
        <v>132</v>
      </c>
      <c r="C88" s="336"/>
      <c r="D88" s="210">
        <v>0</v>
      </c>
      <c r="E88" s="210">
        <v>0</v>
      </c>
      <c r="F88" s="210">
        <v>0</v>
      </c>
      <c r="G88" s="211">
        <v>0</v>
      </c>
    </row>
    <row r="89" spans="1:7" s="30" customFormat="1" ht="15.75" customHeight="1" x14ac:dyDescent="0.25">
      <c r="A89" s="341" t="s">
        <v>149</v>
      </c>
      <c r="B89" s="342"/>
      <c r="C89" s="342"/>
      <c r="D89" s="212">
        <f>SUM(D85:D88)</f>
        <v>2367.83</v>
      </c>
      <c r="E89" s="212">
        <f>SUM(E85:E88)</f>
        <v>2367.83</v>
      </c>
      <c r="F89" s="212">
        <f>SUM(F85:F88)</f>
        <v>1200.8800000000001</v>
      </c>
      <c r="G89" s="213">
        <f>SUM(G85:G88)</f>
        <v>839.65</v>
      </c>
    </row>
    <row r="90" spans="1:7" s="30" customFormat="1" ht="30" customHeight="1" x14ac:dyDescent="0.25">
      <c r="A90" s="339" t="s">
        <v>37</v>
      </c>
      <c r="B90" s="340"/>
      <c r="C90" s="340"/>
      <c r="D90" s="214">
        <f>D89+D82+D61+D53+D25</f>
        <v>10266.83</v>
      </c>
      <c r="E90" s="214">
        <f>E89+E82+E61+E53+E25</f>
        <v>10266.83</v>
      </c>
      <c r="F90" s="214">
        <f>F89+F82+F61+F53+F25</f>
        <v>9099.8799999999992</v>
      </c>
      <c r="G90" s="215">
        <f>G89+G82+G61+G53+G25</f>
        <v>8738.65</v>
      </c>
    </row>
    <row r="91" spans="1:7" s="30" customFormat="1" ht="19.5" customHeight="1" x14ac:dyDescent="0.25">
      <c r="A91" s="343" t="s">
        <v>158</v>
      </c>
      <c r="B91" s="344"/>
      <c r="C91" s="344"/>
      <c r="D91" s="166"/>
      <c r="E91" s="166"/>
      <c r="F91" s="166"/>
      <c r="G91" s="167"/>
    </row>
    <row r="92" spans="1:7" s="30" customFormat="1" x14ac:dyDescent="0.25">
      <c r="A92" s="290">
        <v>6</v>
      </c>
      <c r="B92" s="337" t="s">
        <v>38</v>
      </c>
      <c r="C92" s="355"/>
      <c r="D92" s="168" t="s">
        <v>10</v>
      </c>
      <c r="E92" s="168" t="s">
        <v>10</v>
      </c>
      <c r="F92" s="168" t="s">
        <v>10</v>
      </c>
      <c r="G92" s="169" t="s">
        <v>10</v>
      </c>
    </row>
    <row r="93" spans="1:7" s="30" customFormat="1" x14ac:dyDescent="0.25">
      <c r="A93" s="170" t="s">
        <v>0</v>
      </c>
      <c r="B93" s="289" t="s">
        <v>39</v>
      </c>
      <c r="C93" s="216">
        <v>0.05</v>
      </c>
      <c r="D93" s="173">
        <f>+D90*C93</f>
        <v>513.34</v>
      </c>
      <c r="E93" s="173">
        <f>+E90*C93</f>
        <v>513.34</v>
      </c>
      <c r="F93" s="173">
        <f>+F90*C93</f>
        <v>454.99</v>
      </c>
      <c r="G93" s="174">
        <f>+G90*C93</f>
        <v>436.93</v>
      </c>
    </row>
    <row r="94" spans="1:7" s="30" customFormat="1" x14ac:dyDescent="0.25">
      <c r="A94" s="170" t="s">
        <v>2</v>
      </c>
      <c r="B94" s="289" t="s">
        <v>40</v>
      </c>
      <c r="C94" s="216">
        <v>0.1</v>
      </c>
      <c r="D94" s="210">
        <f>(D90+D93)*C94</f>
        <v>1078.02</v>
      </c>
      <c r="E94" s="210">
        <f>(E90+E93)*C94</f>
        <v>1078.02</v>
      </c>
      <c r="F94" s="210">
        <f>(F90+F93)*C94</f>
        <v>955.49</v>
      </c>
      <c r="G94" s="211">
        <f>(G90+G93)*C94</f>
        <v>917.56</v>
      </c>
    </row>
    <row r="95" spans="1:7" s="30" customFormat="1" ht="30" x14ac:dyDescent="0.25">
      <c r="A95" s="170"/>
      <c r="B95" s="289" t="s">
        <v>47</v>
      </c>
      <c r="C95" s="172">
        <f>1-C102</f>
        <v>0.85750000000000004</v>
      </c>
      <c r="D95" s="173">
        <f>D90+D93+D94</f>
        <v>11858.19</v>
      </c>
      <c r="E95" s="173">
        <f>E90+E93+E94</f>
        <v>11858.19</v>
      </c>
      <c r="F95" s="173">
        <f>F90+F93+F94</f>
        <v>10510.36</v>
      </c>
      <c r="G95" s="174">
        <f>G90+G93+G94</f>
        <v>10093.14</v>
      </c>
    </row>
    <row r="96" spans="1:7" s="30" customFormat="1" x14ac:dyDescent="0.25">
      <c r="A96" s="170"/>
      <c r="B96" s="289"/>
      <c r="C96" s="40"/>
      <c r="D96" s="210">
        <f>D95/C95</f>
        <v>13828.79</v>
      </c>
      <c r="E96" s="210">
        <f>E95/C95</f>
        <v>13828.79</v>
      </c>
      <c r="F96" s="210">
        <f>F95/C95</f>
        <v>12256.98</v>
      </c>
      <c r="G96" s="211">
        <f>G95/C95</f>
        <v>11770.43</v>
      </c>
    </row>
    <row r="97" spans="1:7" s="30" customFormat="1" x14ac:dyDescent="0.25">
      <c r="A97" s="170" t="s">
        <v>3</v>
      </c>
      <c r="B97" s="289" t="s">
        <v>41</v>
      </c>
      <c r="C97" s="217">
        <f>C99+C100+C101</f>
        <v>0.14249999999999999</v>
      </c>
      <c r="D97" s="210"/>
      <c r="E97" s="210"/>
      <c r="F97" s="210"/>
      <c r="G97" s="211"/>
    </row>
    <row r="98" spans="1:7" s="30" customFormat="1" x14ac:dyDescent="0.25">
      <c r="A98" s="170" t="s">
        <v>284</v>
      </c>
      <c r="B98" s="289" t="s">
        <v>280</v>
      </c>
      <c r="C98" s="217">
        <f>C99+C100</f>
        <v>9.2499999999999999E-2</v>
      </c>
      <c r="D98" s="218"/>
      <c r="E98" s="218"/>
      <c r="F98" s="218"/>
      <c r="G98" s="219"/>
    </row>
    <row r="99" spans="1:7" s="30" customFormat="1" x14ac:dyDescent="0.25">
      <c r="A99" s="170" t="s">
        <v>285</v>
      </c>
      <c r="B99" s="298" t="s">
        <v>281</v>
      </c>
      <c r="C99" s="172">
        <v>1.6500000000000001E-2</v>
      </c>
      <c r="D99" s="173">
        <f>D96*C99</f>
        <v>228.18</v>
      </c>
      <c r="E99" s="173">
        <f>E96*C99</f>
        <v>228.18</v>
      </c>
      <c r="F99" s="173">
        <f>F96*C99</f>
        <v>202.24</v>
      </c>
      <c r="G99" s="174">
        <f>G96*C99</f>
        <v>194.21</v>
      </c>
    </row>
    <row r="100" spans="1:7" s="30" customFormat="1" x14ac:dyDescent="0.25">
      <c r="A100" s="170" t="s">
        <v>286</v>
      </c>
      <c r="B100" s="298" t="s">
        <v>282</v>
      </c>
      <c r="C100" s="172">
        <v>7.5999999999999998E-2</v>
      </c>
      <c r="D100" s="173">
        <f>D96*C100</f>
        <v>1050.99</v>
      </c>
      <c r="E100" s="173">
        <f>E96*C100</f>
        <v>1050.99</v>
      </c>
      <c r="F100" s="173">
        <f>F96*C100</f>
        <v>931.53</v>
      </c>
      <c r="G100" s="174">
        <f>G96*C100</f>
        <v>894.55</v>
      </c>
    </row>
    <row r="101" spans="1:7" s="30" customFormat="1" x14ac:dyDescent="0.25">
      <c r="A101" s="170" t="s">
        <v>287</v>
      </c>
      <c r="B101" s="298" t="s">
        <v>283</v>
      </c>
      <c r="C101" s="172">
        <v>0.05</v>
      </c>
      <c r="D101" s="173">
        <f>D96*C101</f>
        <v>691.44</v>
      </c>
      <c r="E101" s="173">
        <f>E96*C101</f>
        <v>691.44</v>
      </c>
      <c r="F101" s="173">
        <f>F96*C101</f>
        <v>612.85</v>
      </c>
      <c r="G101" s="174">
        <f>G96*C101</f>
        <v>588.52</v>
      </c>
    </row>
    <row r="102" spans="1:7" s="30" customFormat="1" x14ac:dyDescent="0.25">
      <c r="A102" s="290"/>
      <c r="B102" s="220" t="s">
        <v>42</v>
      </c>
      <c r="C102" s="221">
        <f>C97</f>
        <v>0.14249999999999999</v>
      </c>
      <c r="D102" s="222">
        <f>SUM(D99:D101)</f>
        <v>1970.61</v>
      </c>
      <c r="E102" s="222">
        <f>SUM(E99:E101)</f>
        <v>1970.61</v>
      </c>
      <c r="F102" s="222">
        <f>SUM(F99:F101)</f>
        <v>1746.62</v>
      </c>
      <c r="G102" s="223">
        <f>SUM(G99:G101)</f>
        <v>1677.28</v>
      </c>
    </row>
    <row r="103" spans="1:7" s="30" customFormat="1" ht="15.75" customHeight="1" x14ac:dyDescent="0.25">
      <c r="A103" s="361" t="s">
        <v>43</v>
      </c>
      <c r="B103" s="362"/>
      <c r="C103" s="362"/>
      <c r="D103" s="198">
        <f>SUM(D93:D94)+D102</f>
        <v>3561.97</v>
      </c>
      <c r="E103" s="198">
        <f>SUM(E93:E94)+E102</f>
        <v>3561.97</v>
      </c>
      <c r="F103" s="198">
        <f>SUM(F93:F94)+F102</f>
        <v>3157.1</v>
      </c>
      <c r="G103" s="199">
        <f>SUM(G93:G94)+G102</f>
        <v>3031.77</v>
      </c>
    </row>
    <row r="104" spans="1:7" s="30" customFormat="1" ht="15.75" customHeight="1" x14ac:dyDescent="0.25">
      <c r="A104" s="367" t="s">
        <v>44</v>
      </c>
      <c r="B104" s="368"/>
      <c r="C104" s="368"/>
      <c r="D104" s="224" t="s">
        <v>10</v>
      </c>
      <c r="E104" s="224" t="s">
        <v>10</v>
      </c>
      <c r="F104" s="224" t="s">
        <v>10</v>
      </c>
      <c r="G104" s="225" t="s">
        <v>10</v>
      </c>
    </row>
    <row r="105" spans="1:7" s="30" customFormat="1" x14ac:dyDescent="0.25">
      <c r="A105" s="170" t="s">
        <v>0</v>
      </c>
      <c r="B105" s="369" t="s">
        <v>45</v>
      </c>
      <c r="C105" s="369"/>
      <c r="D105" s="218">
        <f>D25</f>
        <v>4107.26</v>
      </c>
      <c r="E105" s="218">
        <f>E25</f>
        <v>4107.26</v>
      </c>
      <c r="F105" s="218">
        <f>F25</f>
        <v>4107.26</v>
      </c>
      <c r="G105" s="219">
        <f>G25</f>
        <v>4107.26</v>
      </c>
    </row>
    <row r="106" spans="1:7" s="30" customFormat="1" x14ac:dyDescent="0.25">
      <c r="A106" s="170" t="s">
        <v>2</v>
      </c>
      <c r="B106" s="369" t="s">
        <v>152</v>
      </c>
      <c r="C106" s="369"/>
      <c r="D106" s="218">
        <f>D53</f>
        <v>3281.04</v>
      </c>
      <c r="E106" s="218">
        <f>E53</f>
        <v>3281.04</v>
      </c>
      <c r="F106" s="218">
        <f>F53</f>
        <v>3281.04</v>
      </c>
      <c r="G106" s="219">
        <f>G53</f>
        <v>3281.04</v>
      </c>
    </row>
    <row r="107" spans="1:7" s="30" customFormat="1" x14ac:dyDescent="0.25">
      <c r="A107" s="170" t="s">
        <v>3</v>
      </c>
      <c r="B107" s="369" t="s">
        <v>150</v>
      </c>
      <c r="C107" s="369"/>
      <c r="D107" s="218">
        <f>D61</f>
        <v>296.13</v>
      </c>
      <c r="E107" s="218">
        <f>E61</f>
        <v>296.13</v>
      </c>
      <c r="F107" s="218">
        <f>F61</f>
        <v>296.13</v>
      </c>
      <c r="G107" s="219">
        <f>G61</f>
        <v>296.13</v>
      </c>
    </row>
    <row r="108" spans="1:7" s="30" customFormat="1" x14ac:dyDescent="0.25">
      <c r="A108" s="170" t="s">
        <v>5</v>
      </c>
      <c r="B108" s="369" t="s">
        <v>143</v>
      </c>
      <c r="C108" s="369"/>
      <c r="D108" s="218">
        <f>D82</f>
        <v>214.57</v>
      </c>
      <c r="E108" s="218">
        <f>E82</f>
        <v>214.57</v>
      </c>
      <c r="F108" s="218">
        <f>F82</f>
        <v>214.57</v>
      </c>
      <c r="G108" s="219">
        <f>G82</f>
        <v>214.57</v>
      </c>
    </row>
    <row r="109" spans="1:7" s="30" customFormat="1" x14ac:dyDescent="0.25">
      <c r="A109" s="170" t="s">
        <v>20</v>
      </c>
      <c r="B109" s="369" t="s">
        <v>151</v>
      </c>
      <c r="C109" s="369"/>
      <c r="D109" s="218">
        <f>D89</f>
        <v>2367.83</v>
      </c>
      <c r="E109" s="218">
        <f>E89</f>
        <v>2367.83</v>
      </c>
      <c r="F109" s="218">
        <f>F89</f>
        <v>1200.8800000000001</v>
      </c>
      <c r="G109" s="219">
        <f>G89</f>
        <v>839.65</v>
      </c>
    </row>
    <row r="110" spans="1:7" s="30" customFormat="1" ht="15.75" customHeight="1" x14ac:dyDescent="0.25">
      <c r="A110" s="370" t="s">
        <v>289</v>
      </c>
      <c r="B110" s="364"/>
      <c r="C110" s="364"/>
      <c r="D110" s="168">
        <f>SUM(D105:D109)</f>
        <v>10266.83</v>
      </c>
      <c r="E110" s="168">
        <f>SUM(E105:E109)</f>
        <v>10266.83</v>
      </c>
      <c r="F110" s="168">
        <f>SUM(F105:F109)</f>
        <v>9099.8799999999992</v>
      </c>
      <c r="G110" s="169">
        <f>SUM(G105:G109)</f>
        <v>8738.65</v>
      </c>
    </row>
    <row r="111" spans="1:7" s="30" customFormat="1" x14ac:dyDescent="0.25">
      <c r="A111" s="170" t="s">
        <v>21</v>
      </c>
      <c r="B111" s="369" t="s">
        <v>154</v>
      </c>
      <c r="C111" s="369"/>
      <c r="D111" s="218">
        <f>D103</f>
        <v>3561.97</v>
      </c>
      <c r="E111" s="218">
        <f>E103</f>
        <v>3561.97</v>
      </c>
      <c r="F111" s="218">
        <f>F103</f>
        <v>3157.1</v>
      </c>
      <c r="G111" s="219">
        <f>G103</f>
        <v>3031.77</v>
      </c>
    </row>
    <row r="112" spans="1:7" s="30" customFormat="1" ht="16.5" customHeight="1" thickBot="1" x14ac:dyDescent="0.3">
      <c r="A112" s="353" t="s">
        <v>46</v>
      </c>
      <c r="B112" s="354"/>
      <c r="C112" s="354"/>
      <c r="D112" s="226">
        <f>SUM(D110:D111)</f>
        <v>13828.8</v>
      </c>
      <c r="E112" s="226">
        <f>SUM(E110:E111)</f>
        <v>13828.8</v>
      </c>
      <c r="F112" s="226">
        <f>SUM(F110:F111)</f>
        <v>12256.98</v>
      </c>
      <c r="G112" s="227">
        <f>SUM(G110:G111)</f>
        <v>11770.42</v>
      </c>
    </row>
    <row r="113" spans="2:7" x14ac:dyDescent="0.25"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31"/>
      <c r="D115" s="31"/>
      <c r="E115" s="31"/>
      <c r="F115" s="31"/>
      <c r="G115" s="31"/>
    </row>
    <row r="116" spans="2:7" x14ac:dyDescent="0.25">
      <c r="B116" s="28"/>
      <c r="C116" s="366"/>
      <c r="D116" s="366"/>
      <c r="E116" s="366"/>
      <c r="F116" s="366"/>
      <c r="G116" s="366"/>
    </row>
    <row r="117" spans="2:7" x14ac:dyDescent="0.25">
      <c r="B117" s="28"/>
      <c r="C117" s="31"/>
      <c r="D117" s="31"/>
      <c r="E117" s="31"/>
      <c r="F117" s="31"/>
      <c r="G117" s="31"/>
    </row>
    <row r="119" spans="2:7" x14ac:dyDescent="0.25">
      <c r="B119" s="36"/>
    </row>
    <row r="124" spans="2:7" x14ac:dyDescent="0.25">
      <c r="B124" s="28"/>
    </row>
  </sheetData>
  <mergeCells count="63">
    <mergeCell ref="A1:G1"/>
    <mergeCell ref="C14:G14"/>
    <mergeCell ref="C15:G15"/>
    <mergeCell ref="C4:G4"/>
    <mergeCell ref="C5:G5"/>
    <mergeCell ref="C6:G6"/>
    <mergeCell ref="C7:G7"/>
    <mergeCell ref="A8:G8"/>
    <mergeCell ref="A9:G9"/>
    <mergeCell ref="A10:G10"/>
    <mergeCell ref="C12:G12"/>
    <mergeCell ref="A11:C11"/>
    <mergeCell ref="D11:G11"/>
    <mergeCell ref="C13:G13"/>
    <mergeCell ref="A81:B81"/>
    <mergeCell ref="A82:C82"/>
    <mergeCell ref="A76:C76"/>
    <mergeCell ref="A77:C77"/>
    <mergeCell ref="A83:C83"/>
    <mergeCell ref="B42:C42"/>
    <mergeCell ref="B73:C73"/>
    <mergeCell ref="A75:B75"/>
    <mergeCell ref="A71:B71"/>
    <mergeCell ref="B78:C78"/>
    <mergeCell ref="B63:C63"/>
    <mergeCell ref="A48:C48"/>
    <mergeCell ref="A49:C49"/>
    <mergeCell ref="A54:C54"/>
    <mergeCell ref="A62:C62"/>
    <mergeCell ref="A61:B61"/>
    <mergeCell ref="C116:G116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A91:C91"/>
    <mergeCell ref="A16:C16"/>
    <mergeCell ref="A3:G3"/>
    <mergeCell ref="A2:G2"/>
    <mergeCell ref="A112:C112"/>
    <mergeCell ref="B92:C92"/>
    <mergeCell ref="B32:C32"/>
    <mergeCell ref="A31:G31"/>
    <mergeCell ref="A30:B30"/>
    <mergeCell ref="A25:C25"/>
    <mergeCell ref="B17:C17"/>
    <mergeCell ref="B27:C27"/>
    <mergeCell ref="A26:C26"/>
    <mergeCell ref="A41:B41"/>
    <mergeCell ref="A53:C53"/>
    <mergeCell ref="B55:C55"/>
    <mergeCell ref="B85:C85"/>
    <mergeCell ref="B86:C86"/>
    <mergeCell ref="B87:C87"/>
    <mergeCell ref="B84:C84"/>
    <mergeCell ref="A90:C90"/>
    <mergeCell ref="A89:C89"/>
    <mergeCell ref="B88:C88"/>
  </mergeCells>
  <hyperlinks>
    <hyperlink ref="B38" r:id="rId1" display="08 - Sebrae 0,3% ou 0,6% - IN nº 03, MPS/SRP/2005, Anexo II e III ver código da Tabela" xr:uid="{00000000-0004-0000-03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25"/>
  <sheetViews>
    <sheetView view="pageBreakPreview" zoomScaleNormal="115" zoomScaleSheetLayoutView="100" workbookViewId="0">
      <selection activeCell="E16" sqref="E1:E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77"/>
      <c r="B1" s="378"/>
      <c r="C1" s="378"/>
      <c r="D1" s="378"/>
      <c r="E1" s="379"/>
    </row>
    <row r="2" spans="1:5" s="38" customFormat="1" ht="16.5" customHeight="1" x14ac:dyDescent="0.25">
      <c r="A2" s="350" t="s">
        <v>127</v>
      </c>
      <c r="B2" s="351"/>
      <c r="C2" s="351"/>
      <c r="D2" s="351"/>
      <c r="E2" s="352"/>
    </row>
    <row r="3" spans="1:5" s="38" customFormat="1" x14ac:dyDescent="0.25">
      <c r="A3" s="347" t="s">
        <v>126</v>
      </c>
      <c r="B3" s="348"/>
      <c r="C3" s="348"/>
      <c r="D3" s="348"/>
      <c r="E3" s="349"/>
    </row>
    <row r="4" spans="1:5" s="38" customFormat="1" ht="15" customHeight="1" x14ac:dyDescent="0.25">
      <c r="A4" s="76" t="s">
        <v>0</v>
      </c>
      <c r="B4" s="267" t="s">
        <v>1</v>
      </c>
      <c r="C4" s="385">
        <v>2025</v>
      </c>
      <c r="D4" s="385"/>
      <c r="E4" s="386"/>
    </row>
    <row r="5" spans="1:5" s="38" customFormat="1" ht="45" customHeight="1" x14ac:dyDescent="0.25">
      <c r="A5" s="76" t="s">
        <v>2</v>
      </c>
      <c r="B5" s="267" t="s">
        <v>135</v>
      </c>
      <c r="C5" s="387" t="s">
        <v>248</v>
      </c>
      <c r="D5" s="387"/>
      <c r="E5" s="388"/>
    </row>
    <row r="6" spans="1:5" s="38" customFormat="1" ht="15.75" customHeight="1" x14ac:dyDescent="0.25">
      <c r="A6" s="76" t="s">
        <v>3</v>
      </c>
      <c r="B6" s="267" t="s">
        <v>4</v>
      </c>
      <c r="C6" s="387" t="s">
        <v>279</v>
      </c>
      <c r="D6" s="387"/>
      <c r="E6" s="388"/>
    </row>
    <row r="7" spans="1:5" s="38" customFormat="1" x14ac:dyDescent="0.25">
      <c r="A7" s="76" t="s">
        <v>5</v>
      </c>
      <c r="B7" s="267" t="s">
        <v>295</v>
      </c>
      <c r="C7" s="387">
        <v>12</v>
      </c>
      <c r="D7" s="387"/>
      <c r="E7" s="388"/>
    </row>
    <row r="8" spans="1:5" s="38" customFormat="1" x14ac:dyDescent="0.25">
      <c r="A8" s="347" t="s">
        <v>6</v>
      </c>
      <c r="B8" s="348"/>
      <c r="C8" s="348"/>
      <c r="D8" s="348"/>
      <c r="E8" s="349"/>
    </row>
    <row r="9" spans="1:5" s="38" customFormat="1" x14ac:dyDescent="0.25">
      <c r="A9" s="347" t="s">
        <v>7</v>
      </c>
      <c r="B9" s="348"/>
      <c r="C9" s="348"/>
      <c r="D9" s="348"/>
      <c r="E9" s="349"/>
    </row>
    <row r="10" spans="1:5" s="38" customFormat="1" ht="15.75" customHeight="1" x14ac:dyDescent="0.25">
      <c r="A10" s="347" t="s">
        <v>8</v>
      </c>
      <c r="B10" s="348"/>
      <c r="C10" s="348"/>
      <c r="D10" s="348"/>
      <c r="E10" s="349"/>
    </row>
    <row r="11" spans="1:5" s="38" customFormat="1" ht="30" customHeight="1" x14ac:dyDescent="0.25">
      <c r="A11" s="389" t="s">
        <v>9</v>
      </c>
      <c r="B11" s="390"/>
      <c r="C11" s="390"/>
      <c r="D11" s="394" t="s">
        <v>10</v>
      </c>
      <c r="E11" s="395"/>
    </row>
    <row r="12" spans="1:5" s="38" customFormat="1" ht="45" customHeight="1" x14ac:dyDescent="0.25">
      <c r="A12" s="76">
        <v>1</v>
      </c>
      <c r="B12" s="266" t="s">
        <v>128</v>
      </c>
      <c r="C12" s="380" t="s">
        <v>249</v>
      </c>
      <c r="D12" s="380"/>
      <c r="E12" s="381"/>
    </row>
    <row r="13" spans="1:5" s="38" customFormat="1" ht="30" customHeight="1" x14ac:dyDescent="0.25">
      <c r="A13" s="76">
        <v>2</v>
      </c>
      <c r="B13" s="266" t="s">
        <v>11</v>
      </c>
      <c r="C13" s="392">
        <v>3500.06</v>
      </c>
      <c r="D13" s="392"/>
      <c r="E13" s="393"/>
    </row>
    <row r="14" spans="1:5" s="38" customFormat="1" ht="15.75" customHeight="1" x14ac:dyDescent="0.25">
      <c r="A14" s="76">
        <v>3</v>
      </c>
      <c r="B14" s="266" t="s">
        <v>12</v>
      </c>
      <c r="C14" s="380" t="s">
        <v>253</v>
      </c>
      <c r="D14" s="380"/>
      <c r="E14" s="381"/>
    </row>
    <row r="15" spans="1:5" s="38" customFormat="1" x14ac:dyDescent="0.25">
      <c r="A15" s="76">
        <v>4</v>
      </c>
      <c r="B15" s="69" t="s">
        <v>13</v>
      </c>
      <c r="C15" s="383">
        <v>2025</v>
      </c>
      <c r="D15" s="383"/>
      <c r="E15" s="384"/>
    </row>
    <row r="16" spans="1:5" s="39" customFormat="1" x14ac:dyDescent="0.25">
      <c r="A16" s="345" t="s">
        <v>14</v>
      </c>
      <c r="B16" s="346"/>
      <c r="C16" s="346"/>
      <c r="D16" s="149" t="s">
        <v>246</v>
      </c>
      <c r="E16" s="150" t="s">
        <v>247</v>
      </c>
    </row>
    <row r="17" spans="1:5" s="39" customFormat="1" x14ac:dyDescent="0.25">
      <c r="A17" s="268">
        <v>1</v>
      </c>
      <c r="B17" s="390" t="s">
        <v>15</v>
      </c>
      <c r="C17" s="390"/>
      <c r="D17" s="151" t="s">
        <v>10</v>
      </c>
      <c r="E17" s="152" t="s">
        <v>10</v>
      </c>
    </row>
    <row r="18" spans="1:5" s="38" customFormat="1" ht="15.75" customHeight="1" x14ac:dyDescent="0.25">
      <c r="A18" s="153" t="s">
        <v>0</v>
      </c>
      <c r="B18" s="154" t="s">
        <v>16</v>
      </c>
      <c r="C18" s="69"/>
      <c r="D18" s="70">
        <f>C13</f>
        <v>3500.06</v>
      </c>
      <c r="E18" s="155">
        <f>C13</f>
        <v>3500.06</v>
      </c>
    </row>
    <row r="19" spans="1:5" s="38" customFormat="1" ht="15.75" customHeight="1" x14ac:dyDescent="0.25">
      <c r="A19" s="153" t="s">
        <v>2</v>
      </c>
      <c r="B19" s="154" t="s">
        <v>17</v>
      </c>
      <c r="C19" s="156"/>
      <c r="D19" s="192"/>
      <c r="E19" s="193"/>
    </row>
    <row r="20" spans="1:5" s="38" customFormat="1" ht="15.75" customHeight="1" x14ac:dyDescent="0.25">
      <c r="A20" s="153" t="s">
        <v>3</v>
      </c>
      <c r="B20" s="154" t="s">
        <v>18</v>
      </c>
      <c r="C20" s="159">
        <v>1518</v>
      </c>
      <c r="D20" s="192">
        <f>40%*C20</f>
        <v>607.20000000000005</v>
      </c>
      <c r="E20" s="193">
        <f>40%*C20</f>
        <v>607.20000000000005</v>
      </c>
    </row>
    <row r="21" spans="1:5" s="38" customFormat="1" ht="15.75" customHeight="1" x14ac:dyDescent="0.25">
      <c r="A21" s="153" t="s">
        <v>5</v>
      </c>
      <c r="B21" s="154" t="s">
        <v>19</v>
      </c>
      <c r="C21" s="156"/>
      <c r="D21" s="192">
        <f>((((D18+D20)/220)*20%)*8)*15.21</f>
        <v>454.34</v>
      </c>
      <c r="E21" s="193">
        <f>((((E18+E20)/220)*20%)*8)*15.21</f>
        <v>454.34</v>
      </c>
    </row>
    <row r="22" spans="1:5" s="38" customFormat="1" ht="15.75" customHeight="1" x14ac:dyDescent="0.25">
      <c r="A22" s="153" t="s">
        <v>20</v>
      </c>
      <c r="B22" s="154" t="s">
        <v>196</v>
      </c>
      <c r="C22" s="156"/>
      <c r="D22" s="192"/>
      <c r="E22" s="193"/>
    </row>
    <row r="23" spans="1:5" s="38" customFormat="1" x14ac:dyDescent="0.25">
      <c r="A23" s="153" t="s">
        <v>21</v>
      </c>
      <c r="B23" s="154" t="s">
        <v>133</v>
      </c>
      <c r="C23" s="162"/>
      <c r="D23" s="192"/>
      <c r="E23" s="193"/>
    </row>
    <row r="24" spans="1:5" s="38" customFormat="1" ht="15.75" customHeight="1" x14ac:dyDescent="0.25">
      <c r="A24" s="153" t="s">
        <v>22</v>
      </c>
      <c r="B24" s="274" t="s">
        <v>134</v>
      </c>
      <c r="C24" s="162"/>
      <c r="D24" s="192"/>
      <c r="E24" s="193"/>
    </row>
    <row r="25" spans="1:5" s="39" customFormat="1" ht="15.75" customHeight="1" x14ac:dyDescent="0.25">
      <c r="A25" s="341" t="s">
        <v>145</v>
      </c>
      <c r="B25" s="342"/>
      <c r="C25" s="342"/>
      <c r="D25" s="212">
        <f>SUM(D18:D24)</f>
        <v>4561.6000000000004</v>
      </c>
      <c r="E25" s="213">
        <f>SUM(E18:E24)</f>
        <v>4561.6000000000004</v>
      </c>
    </row>
    <row r="26" spans="1:5" s="39" customFormat="1" x14ac:dyDescent="0.25">
      <c r="A26" s="345" t="s">
        <v>48</v>
      </c>
      <c r="B26" s="346"/>
      <c r="C26" s="346"/>
      <c r="D26" s="228"/>
      <c r="E26" s="229"/>
    </row>
    <row r="27" spans="1:5" s="38" customFormat="1" x14ac:dyDescent="0.25">
      <c r="A27" s="273" t="s">
        <v>136</v>
      </c>
      <c r="B27" s="337" t="s">
        <v>197</v>
      </c>
      <c r="C27" s="355"/>
      <c r="D27" s="168" t="s">
        <v>10</v>
      </c>
      <c r="E27" s="169" t="s">
        <v>10</v>
      </c>
    </row>
    <row r="28" spans="1:5" s="38" customFormat="1" x14ac:dyDescent="0.25">
      <c r="A28" s="170" t="s">
        <v>0</v>
      </c>
      <c r="B28" s="272" t="s">
        <v>28</v>
      </c>
      <c r="C28" s="172">
        <f>1/12</f>
        <v>8.3299999999999999E-2</v>
      </c>
      <c r="D28" s="210">
        <f>(D25)*C28</f>
        <v>379.98</v>
      </c>
      <c r="E28" s="211">
        <f>(E25)*C28</f>
        <v>379.98</v>
      </c>
    </row>
    <row r="29" spans="1:5" s="38" customFormat="1" x14ac:dyDescent="0.25">
      <c r="A29" s="170" t="s">
        <v>2</v>
      </c>
      <c r="B29" s="272" t="s">
        <v>141</v>
      </c>
      <c r="C29" s="172">
        <v>0.1111</v>
      </c>
      <c r="D29" s="210">
        <f>(D25)*C29</f>
        <v>506.79</v>
      </c>
      <c r="E29" s="211">
        <f>(E25)*C29</f>
        <v>506.79</v>
      </c>
    </row>
    <row r="30" spans="1:5" x14ac:dyDescent="0.25">
      <c r="A30" s="361" t="s">
        <v>27</v>
      </c>
      <c r="B30" s="362"/>
      <c r="C30" s="175">
        <f>SUM(C28:C29)</f>
        <v>0.19439999999999999</v>
      </c>
      <c r="D30" s="58">
        <f>SUM(D28:D29)</f>
        <v>886.77</v>
      </c>
      <c r="E30" s="59">
        <f>SUM(E28:E29)</f>
        <v>886.77</v>
      </c>
    </row>
    <row r="31" spans="1:5" ht="32.25" customHeight="1" x14ac:dyDescent="0.25">
      <c r="A31" s="358" t="s">
        <v>182</v>
      </c>
      <c r="B31" s="359"/>
      <c r="C31" s="359"/>
      <c r="D31" s="359"/>
      <c r="E31" s="360"/>
    </row>
    <row r="32" spans="1:5" x14ac:dyDescent="0.25">
      <c r="A32" s="270" t="s">
        <v>136</v>
      </c>
      <c r="B32" s="340" t="s">
        <v>25</v>
      </c>
      <c r="C32" s="396"/>
      <c r="D32" s="214" t="s">
        <v>10</v>
      </c>
      <c r="E32" s="215" t="s">
        <v>10</v>
      </c>
    </row>
    <row r="33" spans="1:5" x14ac:dyDescent="0.25">
      <c r="A33" s="170" t="s">
        <v>0</v>
      </c>
      <c r="B33" s="179" t="s">
        <v>296</v>
      </c>
      <c r="C33" s="172">
        <v>0.2</v>
      </c>
      <c r="D33" s="210">
        <f t="shared" ref="D33:D38" si="0">($D$25+D$30)*C33</f>
        <v>1089.67</v>
      </c>
      <c r="E33" s="211">
        <f t="shared" ref="E33:E40" si="1">($E$25+E$30)*C33</f>
        <v>1089.67</v>
      </c>
    </row>
    <row r="34" spans="1:5" x14ac:dyDescent="0.25">
      <c r="A34" s="170" t="s">
        <v>2</v>
      </c>
      <c r="B34" s="179" t="s">
        <v>297</v>
      </c>
      <c r="C34" s="180">
        <v>2.5000000000000001E-2</v>
      </c>
      <c r="D34" s="210">
        <f t="shared" si="0"/>
        <v>136.21</v>
      </c>
      <c r="E34" s="211">
        <f t="shared" si="1"/>
        <v>136.21</v>
      </c>
    </row>
    <row r="35" spans="1:5" ht="45" x14ac:dyDescent="0.25">
      <c r="A35" s="170" t="s">
        <v>3</v>
      </c>
      <c r="B35" s="271" t="s">
        <v>298</v>
      </c>
      <c r="C35" s="180">
        <v>0.03</v>
      </c>
      <c r="D35" s="210">
        <f t="shared" si="0"/>
        <v>163.44999999999999</v>
      </c>
      <c r="E35" s="211">
        <f t="shared" si="1"/>
        <v>163.44999999999999</v>
      </c>
    </row>
    <row r="36" spans="1:5" x14ac:dyDescent="0.25">
      <c r="A36" s="170" t="s">
        <v>5</v>
      </c>
      <c r="B36" s="179" t="s">
        <v>299</v>
      </c>
      <c r="C36" s="180">
        <v>1.4999999999999999E-2</v>
      </c>
      <c r="D36" s="210">
        <f t="shared" si="0"/>
        <v>81.73</v>
      </c>
      <c r="E36" s="211">
        <f t="shared" si="1"/>
        <v>81.73</v>
      </c>
    </row>
    <row r="37" spans="1:5" x14ac:dyDescent="0.25">
      <c r="A37" s="170" t="s">
        <v>20</v>
      </c>
      <c r="B37" s="179" t="s">
        <v>300</v>
      </c>
      <c r="C37" s="180">
        <v>0.01</v>
      </c>
      <c r="D37" s="210">
        <f t="shared" si="0"/>
        <v>54.48</v>
      </c>
      <c r="E37" s="211">
        <f t="shared" si="1"/>
        <v>54.48</v>
      </c>
    </row>
    <row r="38" spans="1:5" x14ac:dyDescent="0.25">
      <c r="A38" s="170" t="s">
        <v>21</v>
      </c>
      <c r="B38" s="181" t="s">
        <v>200</v>
      </c>
      <c r="C38" s="180">
        <v>6.0000000000000001E-3</v>
      </c>
      <c r="D38" s="210">
        <f t="shared" si="0"/>
        <v>32.69</v>
      </c>
      <c r="E38" s="211">
        <f t="shared" si="1"/>
        <v>32.69</v>
      </c>
    </row>
    <row r="39" spans="1:5" ht="30" x14ac:dyDescent="0.25">
      <c r="A39" s="170" t="s">
        <v>22</v>
      </c>
      <c r="B39" s="271" t="s">
        <v>301</v>
      </c>
      <c r="C39" s="180">
        <v>2E-3</v>
      </c>
      <c r="D39" s="210">
        <f t="shared" ref="D39:D40" si="2">($D$25+D$30)*C39</f>
        <v>10.9</v>
      </c>
      <c r="E39" s="211">
        <f t="shared" si="1"/>
        <v>10.9</v>
      </c>
    </row>
    <row r="40" spans="1:5" x14ac:dyDescent="0.25">
      <c r="A40" s="170" t="s">
        <v>26</v>
      </c>
      <c r="B40" s="182" t="s">
        <v>199</v>
      </c>
      <c r="C40" s="180">
        <v>0.08</v>
      </c>
      <c r="D40" s="210">
        <f t="shared" si="2"/>
        <v>435.87</v>
      </c>
      <c r="E40" s="211">
        <f t="shared" si="1"/>
        <v>435.87</v>
      </c>
    </row>
    <row r="41" spans="1:5" s="30" customFormat="1" x14ac:dyDescent="0.25">
      <c r="A41" s="361" t="s">
        <v>27</v>
      </c>
      <c r="B41" s="362"/>
      <c r="C41" s="183">
        <f>SUM(C33:C40)</f>
        <v>0.36799999999999999</v>
      </c>
      <c r="D41" s="58">
        <f>SUM(D33:D40)</f>
        <v>2005</v>
      </c>
      <c r="E41" s="59">
        <f>SUM(E33:E40)</f>
        <v>2005</v>
      </c>
    </row>
    <row r="42" spans="1:5" s="30" customFormat="1" x14ac:dyDescent="0.25">
      <c r="A42" s="343" t="s">
        <v>166</v>
      </c>
      <c r="B42" s="344"/>
      <c r="C42" s="344"/>
      <c r="D42" s="166"/>
      <c r="E42" s="167"/>
    </row>
    <row r="43" spans="1:5" s="30" customFormat="1" x14ac:dyDescent="0.25">
      <c r="A43" s="186" t="s">
        <v>202</v>
      </c>
      <c r="B43" s="397" t="s">
        <v>203</v>
      </c>
      <c r="C43" s="398"/>
      <c r="D43" s="187" t="s">
        <v>10</v>
      </c>
      <c r="E43" s="230" t="s">
        <v>10</v>
      </c>
    </row>
    <row r="44" spans="1:5" s="30" customFormat="1" x14ac:dyDescent="0.25">
      <c r="A44" s="189" t="s">
        <v>0</v>
      </c>
      <c r="B44" s="190" t="s">
        <v>137</v>
      </c>
      <c r="C44" s="191"/>
      <c r="D44" s="231">
        <v>0</v>
      </c>
      <c r="E44" s="232">
        <v>0</v>
      </c>
    </row>
    <row r="45" spans="1:5" s="30" customFormat="1" x14ac:dyDescent="0.25">
      <c r="A45" s="194" t="s">
        <v>2</v>
      </c>
      <c r="B45" s="274" t="s">
        <v>183</v>
      </c>
      <c r="C45" s="160">
        <v>626.94000000000005</v>
      </c>
      <c r="D45" s="70">
        <f>C45-(C45*0.99%)</f>
        <v>620.73</v>
      </c>
      <c r="E45" s="155">
        <f>C45-(C45*0.99%)</f>
        <v>620.73</v>
      </c>
    </row>
    <row r="46" spans="1:5" s="30" customFormat="1" x14ac:dyDescent="0.25">
      <c r="A46" s="170" t="s">
        <v>3</v>
      </c>
      <c r="B46" s="272" t="s">
        <v>129</v>
      </c>
      <c r="C46" s="173"/>
      <c r="D46" s="196">
        <v>0</v>
      </c>
      <c r="E46" s="197">
        <v>0</v>
      </c>
    </row>
    <row r="47" spans="1:5" s="30" customFormat="1" x14ac:dyDescent="0.25">
      <c r="A47" s="170" t="s">
        <v>5</v>
      </c>
      <c r="B47" s="272" t="s">
        <v>130</v>
      </c>
      <c r="C47" s="172">
        <v>0.5</v>
      </c>
      <c r="D47" s="196">
        <f>(D18*C47*0.0199*2)/12</f>
        <v>5.8</v>
      </c>
      <c r="E47" s="197">
        <f>(E18*C47*0.0199*2)/12</f>
        <v>5.8</v>
      </c>
    </row>
    <row r="48" spans="1:5" s="30" customFormat="1" x14ac:dyDescent="0.25">
      <c r="A48" s="170" t="s">
        <v>20</v>
      </c>
      <c r="B48" s="272" t="s">
        <v>131</v>
      </c>
      <c r="C48" s="173"/>
      <c r="D48" s="299">
        <v>50.76</v>
      </c>
      <c r="E48" s="300">
        <v>50.76</v>
      </c>
    </row>
    <row r="49" spans="1:5" s="30" customFormat="1" ht="15.75" customHeight="1" x14ac:dyDescent="0.25">
      <c r="A49" s="361" t="s">
        <v>23</v>
      </c>
      <c r="B49" s="362"/>
      <c r="C49" s="362"/>
      <c r="D49" s="58">
        <f>SUM(D44:D48)</f>
        <v>677.29</v>
      </c>
      <c r="E49" s="59">
        <f>SUM(E44:E48)</f>
        <v>677.29</v>
      </c>
    </row>
    <row r="50" spans="1:5" s="30" customFormat="1" ht="15.75" customHeight="1" x14ac:dyDescent="0.25">
      <c r="A50" s="343" t="s">
        <v>210</v>
      </c>
      <c r="B50" s="344"/>
      <c r="C50" s="344"/>
      <c r="D50" s="166"/>
      <c r="E50" s="167"/>
    </row>
    <row r="51" spans="1:5" s="30" customFormat="1" ht="15.75" customHeight="1" x14ac:dyDescent="0.25">
      <c r="A51" s="268" t="s">
        <v>136</v>
      </c>
      <c r="B51" s="200" t="s">
        <v>138</v>
      </c>
      <c r="C51" s="269"/>
      <c r="D51" s="202">
        <f>D30</f>
        <v>886.77</v>
      </c>
      <c r="E51" s="204">
        <f>E30</f>
        <v>886.77</v>
      </c>
    </row>
    <row r="52" spans="1:5" s="30" customFormat="1" ht="15.75" customHeight="1" x14ac:dyDescent="0.25">
      <c r="A52" s="268" t="s">
        <v>201</v>
      </c>
      <c r="B52" s="200" t="s">
        <v>139</v>
      </c>
      <c r="C52" s="269"/>
      <c r="D52" s="202">
        <f>D41</f>
        <v>2005</v>
      </c>
      <c r="E52" s="204">
        <f>E41</f>
        <v>2005</v>
      </c>
    </row>
    <row r="53" spans="1:5" s="30" customFormat="1" ht="15.75" customHeight="1" x14ac:dyDescent="0.25">
      <c r="A53" s="268" t="s">
        <v>202</v>
      </c>
      <c r="B53" s="200" t="s">
        <v>140</v>
      </c>
      <c r="C53" s="269"/>
      <c r="D53" s="202">
        <f>D49</f>
        <v>677.29</v>
      </c>
      <c r="E53" s="204">
        <f>E49</f>
        <v>677.29</v>
      </c>
    </row>
    <row r="54" spans="1:5" s="30" customFormat="1" ht="15.75" customHeight="1" x14ac:dyDescent="0.25">
      <c r="A54" s="341" t="s">
        <v>146</v>
      </c>
      <c r="B54" s="342"/>
      <c r="C54" s="342"/>
      <c r="D54" s="212">
        <f>SUM(D51:D53)</f>
        <v>3569.06</v>
      </c>
      <c r="E54" s="213">
        <f>SUM(E51:E53)</f>
        <v>3569.06</v>
      </c>
    </row>
    <row r="55" spans="1:5" s="30" customFormat="1" ht="15.75" customHeight="1" x14ac:dyDescent="0.25">
      <c r="A55" s="345" t="s">
        <v>155</v>
      </c>
      <c r="B55" s="346"/>
      <c r="C55" s="346"/>
      <c r="D55" s="228"/>
      <c r="E55" s="229"/>
    </row>
    <row r="56" spans="1:5" s="30" customFormat="1" ht="15.75" customHeight="1" x14ac:dyDescent="0.25">
      <c r="A56" s="273" t="s">
        <v>192</v>
      </c>
      <c r="B56" s="337" t="s">
        <v>32</v>
      </c>
      <c r="C56" s="338"/>
      <c r="D56" s="168" t="s">
        <v>10</v>
      </c>
      <c r="E56" s="169" t="s">
        <v>10</v>
      </c>
    </row>
    <row r="57" spans="1:5" s="30" customFormat="1" ht="15.75" customHeight="1" x14ac:dyDescent="0.25">
      <c r="A57" s="170" t="s">
        <v>0</v>
      </c>
      <c r="B57" s="272" t="s">
        <v>33</v>
      </c>
      <c r="C57" s="172">
        <v>4.5999999999999999E-3</v>
      </c>
      <c r="D57" s="210">
        <f>D$25*C57</f>
        <v>20.98</v>
      </c>
      <c r="E57" s="211">
        <f>E$25*C57</f>
        <v>20.98</v>
      </c>
    </row>
    <row r="58" spans="1:5" s="30" customFormat="1" ht="15.75" customHeight="1" x14ac:dyDescent="0.25">
      <c r="A58" s="170" t="s">
        <v>2</v>
      </c>
      <c r="B58" s="272" t="s">
        <v>34</v>
      </c>
      <c r="C58" s="172">
        <v>4.0000000000000002E-4</v>
      </c>
      <c r="D58" s="210">
        <f>D$25*C58</f>
        <v>1.82</v>
      </c>
      <c r="E58" s="211">
        <f>E$25*C58</f>
        <v>1.82</v>
      </c>
    </row>
    <row r="59" spans="1:5" s="30" customFormat="1" ht="15.75" customHeight="1" x14ac:dyDescent="0.25">
      <c r="A59" s="170" t="s">
        <v>3</v>
      </c>
      <c r="B59" s="179" t="s">
        <v>35</v>
      </c>
      <c r="C59" s="172">
        <v>1.9400000000000001E-2</v>
      </c>
      <c r="D59" s="210">
        <f>D$25*C59</f>
        <v>88.5</v>
      </c>
      <c r="E59" s="211">
        <f>E$25*C59</f>
        <v>88.5</v>
      </c>
    </row>
    <row r="60" spans="1:5" s="30" customFormat="1" ht="30.75" customHeight="1" x14ac:dyDescent="0.25">
      <c r="A60" s="170" t="s">
        <v>5</v>
      </c>
      <c r="B60" s="272" t="s">
        <v>304</v>
      </c>
      <c r="C60" s="172">
        <v>7.7000000000000002E-3</v>
      </c>
      <c r="D60" s="210">
        <f>D$25*C60</f>
        <v>35.119999999999997</v>
      </c>
      <c r="E60" s="211">
        <f>E$25*C60</f>
        <v>35.119999999999997</v>
      </c>
    </row>
    <row r="61" spans="1:5" s="30" customFormat="1" ht="15.75" customHeight="1" x14ac:dyDescent="0.25">
      <c r="A61" s="170" t="s">
        <v>20</v>
      </c>
      <c r="B61" s="272" t="s">
        <v>142</v>
      </c>
      <c r="C61" s="172">
        <v>0.04</v>
      </c>
      <c r="D61" s="210">
        <f>D$25*C61</f>
        <v>182.46</v>
      </c>
      <c r="E61" s="211">
        <f>E$25*C61</f>
        <v>182.46</v>
      </c>
    </row>
    <row r="62" spans="1:5" s="30" customFormat="1" ht="15.75" customHeight="1" x14ac:dyDescent="0.25">
      <c r="A62" s="341" t="s">
        <v>147</v>
      </c>
      <c r="B62" s="342"/>
      <c r="C62" s="280">
        <f>SUM(C57:C61)</f>
        <v>7.2099999999999997E-2</v>
      </c>
      <c r="D62" s="212">
        <f>SUM(D57:D61)</f>
        <v>328.88</v>
      </c>
      <c r="E62" s="213">
        <f>SUM(E57:E61)</f>
        <v>328.88</v>
      </c>
    </row>
    <row r="63" spans="1:5" s="30" customFormat="1" x14ac:dyDescent="0.25">
      <c r="A63" s="345" t="s">
        <v>156</v>
      </c>
      <c r="B63" s="346"/>
      <c r="C63" s="346"/>
      <c r="D63" s="228"/>
      <c r="E63" s="229"/>
    </row>
    <row r="64" spans="1:5" s="30" customFormat="1" x14ac:dyDescent="0.25">
      <c r="A64" s="273" t="s">
        <v>191</v>
      </c>
      <c r="B64" s="374" t="s">
        <v>190</v>
      </c>
      <c r="C64" s="374"/>
      <c r="D64" s="168" t="s">
        <v>10</v>
      </c>
      <c r="E64" s="169" t="s">
        <v>10</v>
      </c>
    </row>
    <row r="65" spans="1:5" s="30" customFormat="1" x14ac:dyDescent="0.25">
      <c r="A65" s="170" t="s">
        <v>0</v>
      </c>
      <c r="B65" s="278" t="s">
        <v>184</v>
      </c>
      <c r="C65" s="172">
        <f>C29/12</f>
        <v>9.2999999999999992E-3</v>
      </c>
      <c r="D65" s="210">
        <f t="shared" ref="D65:D71" si="3">(D$25+D$54+D$62+D$86)*C65</f>
        <v>78.989999999999995</v>
      </c>
      <c r="E65" s="211">
        <f t="shared" ref="E65:E71" si="4">(E$25+E$54+E$62+E$86)*C65</f>
        <v>78.989999999999995</v>
      </c>
    </row>
    <row r="66" spans="1:5" s="30" customFormat="1" x14ac:dyDescent="0.25">
      <c r="A66" s="170" t="s">
        <v>2</v>
      </c>
      <c r="B66" s="278" t="s">
        <v>185</v>
      </c>
      <c r="C66" s="172">
        <v>1.3899999999999999E-2</v>
      </c>
      <c r="D66" s="210">
        <f t="shared" si="3"/>
        <v>118.06</v>
      </c>
      <c r="E66" s="211">
        <f t="shared" si="4"/>
        <v>118.06</v>
      </c>
    </row>
    <row r="67" spans="1:5" s="30" customFormat="1" x14ac:dyDescent="0.25">
      <c r="A67" s="170" t="s">
        <v>3</v>
      </c>
      <c r="B67" s="278" t="s">
        <v>188</v>
      </c>
      <c r="C67" s="172">
        <v>1.2999999999999999E-3</v>
      </c>
      <c r="D67" s="210">
        <f t="shared" si="3"/>
        <v>11.04</v>
      </c>
      <c r="E67" s="211">
        <f t="shared" si="4"/>
        <v>11.04</v>
      </c>
    </row>
    <row r="68" spans="1:5" s="30" customFormat="1" x14ac:dyDescent="0.25">
      <c r="A68" s="170" t="s">
        <v>5</v>
      </c>
      <c r="B68" s="278" t="s">
        <v>186</v>
      </c>
      <c r="C68" s="172">
        <v>2.0000000000000001E-4</v>
      </c>
      <c r="D68" s="210">
        <f t="shared" si="3"/>
        <v>1.7</v>
      </c>
      <c r="E68" s="211">
        <f t="shared" si="4"/>
        <v>1.7</v>
      </c>
    </row>
    <row r="69" spans="1:5" s="30" customFormat="1" x14ac:dyDescent="0.25">
      <c r="A69" s="170" t="s">
        <v>20</v>
      </c>
      <c r="B69" s="278" t="s">
        <v>291</v>
      </c>
      <c r="C69" s="172">
        <v>2.8E-3</v>
      </c>
      <c r="D69" s="210">
        <f t="shared" si="3"/>
        <v>23.78</v>
      </c>
      <c r="E69" s="211">
        <f t="shared" si="4"/>
        <v>23.78</v>
      </c>
    </row>
    <row r="70" spans="1:5" s="30" customFormat="1" x14ac:dyDescent="0.25">
      <c r="A70" s="170" t="s">
        <v>21</v>
      </c>
      <c r="B70" s="278" t="s">
        <v>187</v>
      </c>
      <c r="C70" s="172">
        <v>2.9999999999999997E-4</v>
      </c>
      <c r="D70" s="210">
        <f t="shared" si="3"/>
        <v>2.5499999999999998</v>
      </c>
      <c r="E70" s="211">
        <f t="shared" si="4"/>
        <v>2.5499999999999998</v>
      </c>
    </row>
    <row r="71" spans="1:5" s="30" customFormat="1" ht="15.75" customHeight="1" x14ac:dyDescent="0.25">
      <c r="A71" s="170" t="s">
        <v>22</v>
      </c>
      <c r="B71" s="272" t="s">
        <v>189</v>
      </c>
      <c r="C71" s="172">
        <v>0</v>
      </c>
      <c r="D71" s="210">
        <f t="shared" si="3"/>
        <v>0</v>
      </c>
      <c r="E71" s="211">
        <f t="shared" si="4"/>
        <v>0</v>
      </c>
    </row>
    <row r="72" spans="1:5" s="30" customFormat="1" x14ac:dyDescent="0.25">
      <c r="A72" s="361" t="s">
        <v>29</v>
      </c>
      <c r="B72" s="362"/>
      <c r="C72" s="183">
        <f>SUM(C65:C71)</f>
        <v>2.7799999999999998E-2</v>
      </c>
      <c r="D72" s="58">
        <f>SUM(D65:D71)</f>
        <v>236.12</v>
      </c>
      <c r="E72" s="59">
        <f>SUM(E65:E71)</f>
        <v>236.12</v>
      </c>
    </row>
    <row r="73" spans="1:5" s="30" customFormat="1" x14ac:dyDescent="0.25">
      <c r="A73" s="268"/>
      <c r="B73" s="269"/>
      <c r="C73" s="201"/>
      <c r="D73" s="70"/>
      <c r="E73" s="155"/>
    </row>
    <row r="74" spans="1:5" s="30" customFormat="1" x14ac:dyDescent="0.25">
      <c r="A74" s="268"/>
      <c r="B74" s="363" t="s">
        <v>193</v>
      </c>
      <c r="C74" s="373"/>
      <c r="D74" s="168" t="s">
        <v>10</v>
      </c>
      <c r="E74" s="169" t="s">
        <v>10</v>
      </c>
    </row>
    <row r="75" spans="1:5" s="30" customFormat="1" x14ac:dyDescent="0.25">
      <c r="A75" s="170" t="s">
        <v>0</v>
      </c>
      <c r="B75" s="272" t="s">
        <v>194</v>
      </c>
      <c r="C75" s="172">
        <v>0</v>
      </c>
      <c r="D75" s="210">
        <f>(D$25+D$54+D$62)*C75</f>
        <v>0</v>
      </c>
      <c r="E75" s="211">
        <f>(E$25+E$54+E$62)*C75</f>
        <v>0</v>
      </c>
    </row>
    <row r="76" spans="1:5" s="30" customFormat="1" ht="15.75" customHeight="1" x14ac:dyDescent="0.25">
      <c r="A76" s="361" t="s">
        <v>27</v>
      </c>
      <c r="B76" s="362"/>
      <c r="C76" s="205">
        <f>C75</f>
        <v>0</v>
      </c>
      <c r="D76" s="58">
        <f>D75</f>
        <v>0</v>
      </c>
      <c r="E76" s="59">
        <f>E75</f>
        <v>0</v>
      </c>
    </row>
    <row r="77" spans="1:5" s="30" customFormat="1" ht="15.75" customHeight="1" x14ac:dyDescent="0.25">
      <c r="A77" s="343" t="s">
        <v>30</v>
      </c>
      <c r="B77" s="344"/>
      <c r="C77" s="344"/>
      <c r="D77" s="166"/>
      <c r="E77" s="167"/>
    </row>
    <row r="78" spans="1:5" s="30" customFormat="1" ht="15.75" customHeight="1" x14ac:dyDescent="0.25">
      <c r="A78" s="399" t="s">
        <v>195</v>
      </c>
      <c r="B78" s="400"/>
      <c r="C78" s="400"/>
      <c r="D78" s="220"/>
      <c r="E78" s="233"/>
    </row>
    <row r="79" spans="1:5" s="30" customFormat="1" ht="15.75" customHeight="1" x14ac:dyDescent="0.25">
      <c r="A79" s="273">
        <v>4</v>
      </c>
      <c r="B79" s="337" t="s">
        <v>31</v>
      </c>
      <c r="C79" s="338"/>
      <c r="D79" s="168" t="s">
        <v>10</v>
      </c>
      <c r="E79" s="169" t="s">
        <v>10</v>
      </c>
    </row>
    <row r="80" spans="1:5" s="30" customFormat="1" ht="15.75" customHeight="1" x14ac:dyDescent="0.25">
      <c r="A80" s="170" t="s">
        <v>191</v>
      </c>
      <c r="B80" s="272" t="s">
        <v>190</v>
      </c>
      <c r="C80" s="172">
        <f>C72</f>
        <v>2.7799999999999998E-2</v>
      </c>
      <c r="D80" s="210">
        <f>D72</f>
        <v>236.12</v>
      </c>
      <c r="E80" s="211">
        <f>E72</f>
        <v>236.12</v>
      </c>
    </row>
    <row r="81" spans="1:5" s="30" customFormat="1" ht="15.75" customHeight="1" x14ac:dyDescent="0.25">
      <c r="A81" s="170" t="s">
        <v>207</v>
      </c>
      <c r="B81" s="272" t="s">
        <v>193</v>
      </c>
      <c r="C81" s="172">
        <v>0</v>
      </c>
      <c r="D81" s="210">
        <f>(D$25+D$54+D$62)*C81</f>
        <v>0</v>
      </c>
      <c r="E81" s="211">
        <f>(E$25+E$54+E$62)*C81</f>
        <v>0</v>
      </c>
    </row>
    <row r="82" spans="1:5" s="30" customFormat="1" ht="15.75" customHeight="1" x14ac:dyDescent="0.25">
      <c r="A82" s="361" t="s">
        <v>27</v>
      </c>
      <c r="B82" s="362"/>
      <c r="C82" s="175">
        <f>SUM(C80:C81)</f>
        <v>2.7799999999999998E-2</v>
      </c>
      <c r="D82" s="58">
        <f>SUM(D80:D81)</f>
        <v>236.12</v>
      </c>
      <c r="E82" s="59">
        <f>SUM(E80:E81)</f>
        <v>236.12</v>
      </c>
    </row>
    <row r="83" spans="1:5" s="30" customFormat="1" ht="15.75" customHeight="1" x14ac:dyDescent="0.25">
      <c r="A83" s="341" t="s">
        <v>148</v>
      </c>
      <c r="B83" s="342"/>
      <c r="C83" s="342"/>
      <c r="D83" s="212">
        <f>SUM(D76+D82)</f>
        <v>236.12</v>
      </c>
      <c r="E83" s="213">
        <f>SUM(E76+E82)</f>
        <v>236.12</v>
      </c>
    </row>
    <row r="84" spans="1:5" s="30" customFormat="1" ht="15.75" customHeight="1" x14ac:dyDescent="0.25">
      <c r="A84" s="345" t="s">
        <v>157</v>
      </c>
      <c r="B84" s="346"/>
      <c r="C84" s="346"/>
      <c r="D84" s="228"/>
      <c r="E84" s="229"/>
    </row>
    <row r="85" spans="1:5" s="30" customFormat="1" ht="15.75" customHeight="1" x14ac:dyDescent="0.25">
      <c r="A85" s="273">
        <v>5</v>
      </c>
      <c r="B85" s="337" t="s">
        <v>24</v>
      </c>
      <c r="C85" s="338"/>
      <c r="D85" s="168" t="s">
        <v>10</v>
      </c>
      <c r="E85" s="169" t="s">
        <v>10</v>
      </c>
    </row>
    <row r="86" spans="1:5" s="30" customFormat="1" ht="15.75" customHeight="1" x14ac:dyDescent="0.25">
      <c r="A86" s="194" t="s">
        <v>0</v>
      </c>
      <c r="B86" s="336" t="s">
        <v>208</v>
      </c>
      <c r="C86" s="336"/>
      <c r="D86" s="210">
        <f>Uniformes!H7</f>
        <v>33.93</v>
      </c>
      <c r="E86" s="211">
        <f>Uniformes!H7</f>
        <v>33.93</v>
      </c>
    </row>
    <row r="87" spans="1:5" s="30" customFormat="1" ht="15.75" customHeight="1" x14ac:dyDescent="0.25">
      <c r="A87" s="194" t="s">
        <v>2</v>
      </c>
      <c r="B87" s="336" t="s">
        <v>209</v>
      </c>
      <c r="C87" s="336"/>
      <c r="D87" s="210">
        <f>Materiais!H20</f>
        <v>58.98</v>
      </c>
      <c r="E87" s="211">
        <f>Materiais!H21</f>
        <v>40.090000000000003</v>
      </c>
    </row>
    <row r="88" spans="1:5" s="30" customFormat="1" ht="15.75" customHeight="1" x14ac:dyDescent="0.25">
      <c r="A88" s="194" t="s">
        <v>3</v>
      </c>
      <c r="B88" s="336" t="s">
        <v>179</v>
      </c>
      <c r="C88" s="336"/>
      <c r="D88" s="210">
        <f>Equipamentos!H20</f>
        <v>1107.97</v>
      </c>
      <c r="E88" s="211">
        <f>Equipamentos!H21</f>
        <v>765.63</v>
      </c>
    </row>
    <row r="89" spans="1:5" s="30" customFormat="1" ht="15.75" customHeight="1" x14ac:dyDescent="0.25">
      <c r="A89" s="194" t="s">
        <v>5</v>
      </c>
      <c r="B89" s="336" t="s">
        <v>132</v>
      </c>
      <c r="C89" s="336"/>
      <c r="D89" s="210">
        <v>0</v>
      </c>
      <c r="E89" s="211">
        <v>0</v>
      </c>
    </row>
    <row r="90" spans="1:5" s="30" customFormat="1" ht="15.75" customHeight="1" x14ac:dyDescent="0.25">
      <c r="A90" s="341" t="s">
        <v>149</v>
      </c>
      <c r="B90" s="342"/>
      <c r="C90" s="342"/>
      <c r="D90" s="212">
        <f>SUM(D86:D89)</f>
        <v>1200.8800000000001</v>
      </c>
      <c r="E90" s="213">
        <f>SUM(E86:E89)</f>
        <v>839.65</v>
      </c>
    </row>
    <row r="91" spans="1:5" s="30" customFormat="1" ht="30" customHeight="1" x14ac:dyDescent="0.25">
      <c r="A91" s="339" t="s">
        <v>211</v>
      </c>
      <c r="B91" s="340"/>
      <c r="C91" s="340"/>
      <c r="D91" s="234">
        <f>D90+D83+D62+D54+D25</f>
        <v>9896.5400000000009</v>
      </c>
      <c r="E91" s="235">
        <f>E90+E83+E62+E54+E25</f>
        <v>9535.31</v>
      </c>
    </row>
    <row r="92" spans="1:5" s="30" customFormat="1" ht="19.5" customHeight="1" x14ac:dyDescent="0.25">
      <c r="A92" s="345" t="s">
        <v>158</v>
      </c>
      <c r="B92" s="346"/>
      <c r="C92" s="346"/>
      <c r="D92" s="228"/>
      <c r="E92" s="229"/>
    </row>
    <row r="93" spans="1:5" s="30" customFormat="1" x14ac:dyDescent="0.25">
      <c r="A93" s="273">
        <v>6</v>
      </c>
      <c r="B93" s="337" t="s">
        <v>38</v>
      </c>
      <c r="C93" s="355"/>
      <c r="D93" s="168" t="s">
        <v>10</v>
      </c>
      <c r="E93" s="169" t="s">
        <v>10</v>
      </c>
    </row>
    <row r="94" spans="1:5" s="30" customFormat="1" x14ac:dyDescent="0.25">
      <c r="A94" s="170" t="s">
        <v>0</v>
      </c>
      <c r="B94" s="272" t="s">
        <v>39</v>
      </c>
      <c r="C94" s="216">
        <v>0.05</v>
      </c>
      <c r="D94" s="210">
        <f>+D91*C94</f>
        <v>494.83</v>
      </c>
      <c r="E94" s="211">
        <f>+E91*C94</f>
        <v>476.77</v>
      </c>
    </row>
    <row r="95" spans="1:5" s="30" customFormat="1" x14ac:dyDescent="0.25">
      <c r="A95" s="170" t="s">
        <v>2</v>
      </c>
      <c r="B95" s="272" t="s">
        <v>40</v>
      </c>
      <c r="C95" s="216">
        <v>0.1</v>
      </c>
      <c r="D95" s="210">
        <f>C95*(+D91+D94)</f>
        <v>1039.1400000000001</v>
      </c>
      <c r="E95" s="211">
        <f>C95*(+E91+E94)</f>
        <v>1001.21</v>
      </c>
    </row>
    <row r="96" spans="1:5" s="30" customFormat="1" ht="30" x14ac:dyDescent="0.25">
      <c r="A96" s="170"/>
      <c r="B96" s="272" t="s">
        <v>47</v>
      </c>
      <c r="C96" s="172">
        <f>1-C103</f>
        <v>0.85750000000000004</v>
      </c>
      <c r="D96" s="210">
        <f>+D91+D94+D95</f>
        <v>11430.51</v>
      </c>
      <c r="E96" s="211">
        <f>+E91+E94+E95</f>
        <v>11013.29</v>
      </c>
    </row>
    <row r="97" spans="1:5" s="30" customFormat="1" x14ac:dyDescent="0.25">
      <c r="A97" s="170"/>
      <c r="B97" s="272"/>
      <c r="C97" s="40"/>
      <c r="D97" s="236">
        <f>+D96/C96</f>
        <v>13330.04</v>
      </c>
      <c r="E97" s="237">
        <f>+E96/C96</f>
        <v>12843.49</v>
      </c>
    </row>
    <row r="98" spans="1:5" s="30" customFormat="1" x14ac:dyDescent="0.25">
      <c r="A98" s="170" t="s">
        <v>3</v>
      </c>
      <c r="B98" s="272" t="s">
        <v>41</v>
      </c>
      <c r="C98" s="217">
        <f>C100+C101+C102</f>
        <v>0.14249999999999999</v>
      </c>
      <c r="D98" s="236"/>
      <c r="E98" s="237"/>
    </row>
    <row r="99" spans="1:5" s="30" customFormat="1" x14ac:dyDescent="0.25">
      <c r="A99" s="170" t="s">
        <v>284</v>
      </c>
      <c r="B99" s="272" t="s">
        <v>280</v>
      </c>
      <c r="C99" s="217">
        <f>C100+C101</f>
        <v>9.2499999999999999E-2</v>
      </c>
      <c r="D99" s="210"/>
      <c r="E99" s="211"/>
    </row>
    <row r="100" spans="1:5" s="30" customFormat="1" x14ac:dyDescent="0.25">
      <c r="A100" s="170" t="s">
        <v>285</v>
      </c>
      <c r="B100" s="278" t="s">
        <v>281</v>
      </c>
      <c r="C100" s="172">
        <v>1.6500000000000001E-2</v>
      </c>
      <c r="D100" s="210">
        <f>+D97*C100</f>
        <v>219.95</v>
      </c>
      <c r="E100" s="211">
        <f>+E97*C100</f>
        <v>211.92</v>
      </c>
    </row>
    <row r="101" spans="1:5" s="30" customFormat="1" x14ac:dyDescent="0.25">
      <c r="A101" s="170" t="s">
        <v>286</v>
      </c>
      <c r="B101" s="278" t="s">
        <v>282</v>
      </c>
      <c r="C101" s="172">
        <v>7.5999999999999998E-2</v>
      </c>
      <c r="D101" s="210">
        <f>+D97*C101</f>
        <v>1013.08</v>
      </c>
      <c r="E101" s="211">
        <f>+E97*C101</f>
        <v>976.11</v>
      </c>
    </row>
    <row r="102" spans="1:5" s="30" customFormat="1" x14ac:dyDescent="0.25">
      <c r="A102" s="170" t="s">
        <v>287</v>
      </c>
      <c r="B102" s="278" t="s">
        <v>283</v>
      </c>
      <c r="C102" s="172">
        <v>0.05</v>
      </c>
      <c r="D102" s="210">
        <f>+D97*C102</f>
        <v>666.5</v>
      </c>
      <c r="E102" s="211">
        <f>+E97*C102</f>
        <v>642.16999999999996</v>
      </c>
    </row>
    <row r="103" spans="1:5" s="30" customFormat="1" x14ac:dyDescent="0.25">
      <c r="A103" s="273"/>
      <c r="B103" s="220" t="s">
        <v>42</v>
      </c>
      <c r="C103" s="221">
        <f>C98</f>
        <v>0.14249999999999999</v>
      </c>
      <c r="D103" s="222">
        <f>SUM(D100:D102)</f>
        <v>1899.53</v>
      </c>
      <c r="E103" s="223">
        <f>SUM(E100:E102)</f>
        <v>1830.2</v>
      </c>
    </row>
    <row r="104" spans="1:5" s="30" customFormat="1" ht="15.75" customHeight="1" x14ac:dyDescent="0.25">
      <c r="A104" s="361" t="s">
        <v>43</v>
      </c>
      <c r="B104" s="362"/>
      <c r="C104" s="362"/>
      <c r="D104" s="58">
        <f>+D94+D95+D103</f>
        <v>3433.5</v>
      </c>
      <c r="E104" s="59">
        <f>+E94+E95+E103</f>
        <v>3308.18</v>
      </c>
    </row>
    <row r="105" spans="1:5" s="30" customFormat="1" ht="15.75" customHeight="1" x14ac:dyDescent="0.25">
      <c r="A105" s="401" t="s">
        <v>44</v>
      </c>
      <c r="B105" s="402"/>
      <c r="C105" s="402"/>
      <c r="D105" s="238" t="s">
        <v>10</v>
      </c>
      <c r="E105" s="239" t="s">
        <v>10</v>
      </c>
    </row>
    <row r="106" spans="1:5" s="30" customFormat="1" x14ac:dyDescent="0.25">
      <c r="A106" s="170" t="s">
        <v>0</v>
      </c>
      <c r="B106" s="369" t="s">
        <v>45</v>
      </c>
      <c r="C106" s="369"/>
      <c r="D106" s="210">
        <f>+D25</f>
        <v>4561.6000000000004</v>
      </c>
      <c r="E106" s="211">
        <f>+E25</f>
        <v>4561.6000000000004</v>
      </c>
    </row>
    <row r="107" spans="1:5" s="30" customFormat="1" x14ac:dyDescent="0.25">
      <c r="A107" s="170" t="s">
        <v>2</v>
      </c>
      <c r="B107" s="369" t="s">
        <v>152</v>
      </c>
      <c r="C107" s="369"/>
      <c r="D107" s="210">
        <f>+D54</f>
        <v>3569.06</v>
      </c>
      <c r="E107" s="211">
        <f>+E54</f>
        <v>3569.06</v>
      </c>
    </row>
    <row r="108" spans="1:5" s="30" customFormat="1" x14ac:dyDescent="0.25">
      <c r="A108" s="170" t="s">
        <v>3</v>
      </c>
      <c r="B108" s="369" t="s">
        <v>150</v>
      </c>
      <c r="C108" s="369"/>
      <c r="D108" s="210">
        <f>D62</f>
        <v>328.88</v>
      </c>
      <c r="E108" s="211">
        <f>E62</f>
        <v>328.88</v>
      </c>
    </row>
    <row r="109" spans="1:5" s="30" customFormat="1" x14ac:dyDescent="0.25">
      <c r="A109" s="170" t="s">
        <v>5</v>
      </c>
      <c r="B109" s="369" t="s">
        <v>143</v>
      </c>
      <c r="C109" s="369"/>
      <c r="D109" s="210">
        <f>D83</f>
        <v>236.12</v>
      </c>
      <c r="E109" s="211">
        <f>E83</f>
        <v>236.12</v>
      </c>
    </row>
    <row r="110" spans="1:5" s="30" customFormat="1" x14ac:dyDescent="0.25">
      <c r="A110" s="170" t="s">
        <v>20</v>
      </c>
      <c r="B110" s="369" t="s">
        <v>151</v>
      </c>
      <c r="C110" s="369"/>
      <c r="D110" s="210">
        <f>D90</f>
        <v>1200.8800000000001</v>
      </c>
      <c r="E110" s="211">
        <f>E90</f>
        <v>839.65</v>
      </c>
    </row>
    <row r="111" spans="1:5" s="30" customFormat="1" ht="15.75" customHeight="1" x14ac:dyDescent="0.25">
      <c r="A111" s="370" t="s">
        <v>289</v>
      </c>
      <c r="B111" s="364"/>
      <c r="C111" s="364"/>
      <c r="D111" s="222">
        <f>SUM(D106:D110)</f>
        <v>9896.5400000000009</v>
      </c>
      <c r="E111" s="223">
        <f>SUM(E106:E110)</f>
        <v>9535.31</v>
      </c>
    </row>
    <row r="112" spans="1:5" s="30" customFormat="1" x14ac:dyDescent="0.25">
      <c r="A112" s="170" t="s">
        <v>21</v>
      </c>
      <c r="B112" s="369" t="s">
        <v>154</v>
      </c>
      <c r="C112" s="369"/>
      <c r="D112" s="210">
        <f>+D104</f>
        <v>3433.5</v>
      </c>
      <c r="E112" s="211">
        <f>+E104</f>
        <v>3308.18</v>
      </c>
    </row>
    <row r="113" spans="1:5" s="30" customFormat="1" ht="16.5" customHeight="1" thickBot="1" x14ac:dyDescent="0.3">
      <c r="A113" s="353" t="s">
        <v>46</v>
      </c>
      <c r="B113" s="354"/>
      <c r="C113" s="354"/>
      <c r="D113" s="240">
        <f>+D111+D112</f>
        <v>13330.04</v>
      </c>
      <c r="E113" s="241">
        <f>+E111+E112</f>
        <v>12843.49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366"/>
      <c r="D117" s="366"/>
      <c r="E117" s="366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A82:B82"/>
    <mergeCell ref="A77:C77"/>
    <mergeCell ref="B64:C64"/>
    <mergeCell ref="A55:C55"/>
    <mergeCell ref="A63:C63"/>
    <mergeCell ref="B74:C74"/>
    <mergeCell ref="A76:B76"/>
    <mergeCell ref="B79:C79"/>
    <mergeCell ref="A62:B62"/>
    <mergeCell ref="C117:E117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50:C50"/>
    <mergeCell ref="B93:C93"/>
    <mergeCell ref="B87:C87"/>
    <mergeCell ref="B88:C88"/>
    <mergeCell ref="B89:C89"/>
    <mergeCell ref="B85:C85"/>
    <mergeCell ref="A90:C90"/>
    <mergeCell ref="A91:C91"/>
    <mergeCell ref="B86:C86"/>
    <mergeCell ref="A83:C83"/>
    <mergeCell ref="A78:C78"/>
    <mergeCell ref="A84:C84"/>
    <mergeCell ref="A92:C92"/>
    <mergeCell ref="A72:B72"/>
    <mergeCell ref="A54:C54"/>
    <mergeCell ref="B56:C56"/>
    <mergeCell ref="A30:B30"/>
    <mergeCell ref="A26:C26"/>
    <mergeCell ref="B32:C32"/>
    <mergeCell ref="A41:B41"/>
    <mergeCell ref="A49:C49"/>
    <mergeCell ref="B43:C43"/>
    <mergeCell ref="A42:C42"/>
    <mergeCell ref="A31:E31"/>
    <mergeCell ref="B27:C27"/>
    <mergeCell ref="C5:E5"/>
    <mergeCell ref="A1:E1"/>
    <mergeCell ref="A2:E2"/>
    <mergeCell ref="A3:E3"/>
    <mergeCell ref="C4:E4"/>
    <mergeCell ref="A11:C11"/>
    <mergeCell ref="C12:E12"/>
    <mergeCell ref="C6:E6"/>
    <mergeCell ref="C7:E7"/>
    <mergeCell ref="A8:E8"/>
    <mergeCell ref="A9:E9"/>
    <mergeCell ref="A10:E10"/>
    <mergeCell ref="D11:E11"/>
    <mergeCell ref="C13:E13"/>
    <mergeCell ref="B17:C17"/>
    <mergeCell ref="A25:C25"/>
    <mergeCell ref="C14:E14"/>
    <mergeCell ref="C15:E15"/>
    <mergeCell ref="A16:C16"/>
  </mergeCells>
  <hyperlinks>
    <hyperlink ref="B38" r:id="rId1" display="08 - Sebrae 0,3% ou 0,6% - IN nº 03, MPS/SRP/2005, Anexo II e III ver código da Tabela" xr:uid="{00000000-0004-0000-04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25"/>
  <sheetViews>
    <sheetView view="pageBreakPreview" zoomScaleNormal="115" zoomScaleSheetLayoutView="100" workbookViewId="0">
      <selection activeCell="E16" sqref="E1:E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377"/>
      <c r="B1" s="378"/>
      <c r="C1" s="378"/>
      <c r="D1" s="378"/>
      <c r="E1" s="378"/>
      <c r="F1" s="379"/>
    </row>
    <row r="2" spans="1:6" s="38" customFormat="1" ht="16.5" customHeight="1" x14ac:dyDescent="0.25">
      <c r="A2" s="350" t="s">
        <v>127</v>
      </c>
      <c r="B2" s="351"/>
      <c r="C2" s="351"/>
      <c r="D2" s="351"/>
      <c r="E2" s="351"/>
      <c r="F2" s="352"/>
    </row>
    <row r="3" spans="1:6" s="38" customFormat="1" x14ac:dyDescent="0.25">
      <c r="A3" s="347" t="s">
        <v>126</v>
      </c>
      <c r="B3" s="348"/>
      <c r="C3" s="348"/>
      <c r="D3" s="348"/>
      <c r="E3" s="348"/>
      <c r="F3" s="349"/>
    </row>
    <row r="4" spans="1:6" s="38" customFormat="1" ht="15" customHeight="1" x14ac:dyDescent="0.25">
      <c r="A4" s="76" t="s">
        <v>0</v>
      </c>
      <c r="B4" s="242" t="s">
        <v>1</v>
      </c>
      <c r="C4" s="385">
        <v>2025</v>
      </c>
      <c r="D4" s="385"/>
      <c r="E4" s="385"/>
      <c r="F4" s="386"/>
    </row>
    <row r="5" spans="1:6" s="38" customFormat="1" ht="60" customHeight="1" x14ac:dyDescent="0.25">
      <c r="A5" s="76" t="s">
        <v>2</v>
      </c>
      <c r="B5" s="242" t="s">
        <v>135</v>
      </c>
      <c r="C5" s="387" t="s">
        <v>248</v>
      </c>
      <c r="D5" s="387"/>
      <c r="E5" s="387"/>
      <c r="F5" s="388"/>
    </row>
    <row r="6" spans="1:6" s="38" customFormat="1" ht="15.75" customHeight="1" x14ac:dyDescent="0.25">
      <c r="A6" s="76" t="s">
        <v>3</v>
      </c>
      <c r="B6" s="242" t="s">
        <v>4</v>
      </c>
      <c r="C6" s="387" t="s">
        <v>288</v>
      </c>
      <c r="D6" s="387"/>
      <c r="E6" s="387"/>
      <c r="F6" s="388"/>
    </row>
    <row r="7" spans="1:6" s="38" customFormat="1" x14ac:dyDescent="0.25">
      <c r="A7" s="76" t="s">
        <v>5</v>
      </c>
      <c r="B7" s="242" t="s">
        <v>295</v>
      </c>
      <c r="C7" s="387">
        <v>12</v>
      </c>
      <c r="D7" s="387"/>
      <c r="E7" s="387"/>
      <c r="F7" s="388"/>
    </row>
    <row r="8" spans="1:6" s="38" customFormat="1" x14ac:dyDescent="0.25">
      <c r="A8" s="347" t="s">
        <v>6</v>
      </c>
      <c r="B8" s="348"/>
      <c r="C8" s="348"/>
      <c r="D8" s="348"/>
      <c r="E8" s="348"/>
      <c r="F8" s="349"/>
    </row>
    <row r="9" spans="1:6" s="38" customFormat="1" x14ac:dyDescent="0.25">
      <c r="A9" s="347" t="s">
        <v>7</v>
      </c>
      <c r="B9" s="348"/>
      <c r="C9" s="348"/>
      <c r="D9" s="348"/>
      <c r="E9" s="348"/>
      <c r="F9" s="349"/>
    </row>
    <row r="10" spans="1:6" s="38" customFormat="1" ht="15.75" customHeight="1" x14ac:dyDescent="0.25">
      <c r="A10" s="347" t="s">
        <v>8</v>
      </c>
      <c r="B10" s="348"/>
      <c r="C10" s="348"/>
      <c r="D10" s="348"/>
      <c r="E10" s="348"/>
      <c r="F10" s="349"/>
    </row>
    <row r="11" spans="1:6" s="38" customFormat="1" ht="30" customHeight="1" x14ac:dyDescent="0.25">
      <c r="A11" s="389" t="s">
        <v>9</v>
      </c>
      <c r="B11" s="390"/>
      <c r="C11" s="390"/>
      <c r="D11" s="394" t="s">
        <v>10</v>
      </c>
      <c r="E11" s="394"/>
      <c r="F11" s="395"/>
    </row>
    <row r="12" spans="1:6" s="38" customFormat="1" ht="45" customHeight="1" x14ac:dyDescent="0.25">
      <c r="A12" s="76">
        <v>1</v>
      </c>
      <c r="B12" s="243" t="s">
        <v>128</v>
      </c>
      <c r="C12" s="380" t="s">
        <v>249</v>
      </c>
      <c r="D12" s="380"/>
      <c r="E12" s="380"/>
      <c r="F12" s="381"/>
    </row>
    <row r="13" spans="1:6" s="38" customFormat="1" ht="30" customHeight="1" x14ac:dyDescent="0.25">
      <c r="A13" s="76">
        <v>2</v>
      </c>
      <c r="B13" s="243" t="s">
        <v>11</v>
      </c>
      <c r="C13" s="392">
        <v>3325</v>
      </c>
      <c r="D13" s="392"/>
      <c r="E13" s="392"/>
      <c r="F13" s="393"/>
    </row>
    <row r="14" spans="1:6" s="38" customFormat="1" ht="15.75" customHeight="1" x14ac:dyDescent="0.25">
      <c r="A14" s="76">
        <v>3</v>
      </c>
      <c r="B14" s="243" t="s">
        <v>12</v>
      </c>
      <c r="C14" s="380" t="s">
        <v>220</v>
      </c>
      <c r="D14" s="380"/>
      <c r="E14" s="380"/>
      <c r="F14" s="381"/>
    </row>
    <row r="15" spans="1:6" s="38" customFormat="1" x14ac:dyDescent="0.25">
      <c r="A15" s="76">
        <v>4</v>
      </c>
      <c r="B15" s="244" t="s">
        <v>13</v>
      </c>
      <c r="C15" s="382">
        <v>45673</v>
      </c>
      <c r="D15" s="383"/>
      <c r="E15" s="383"/>
      <c r="F15" s="384"/>
    </row>
    <row r="16" spans="1:6" s="39" customFormat="1" ht="30" x14ac:dyDescent="0.25">
      <c r="A16" s="345" t="s">
        <v>14</v>
      </c>
      <c r="B16" s="346"/>
      <c r="C16" s="346"/>
      <c r="D16" s="149" t="s">
        <v>307</v>
      </c>
      <c r="E16" s="149" t="s">
        <v>245</v>
      </c>
      <c r="F16" s="150" t="s">
        <v>246</v>
      </c>
    </row>
    <row r="17" spans="1:6" s="39" customFormat="1" x14ac:dyDescent="0.25">
      <c r="A17" s="294">
        <v>1</v>
      </c>
      <c r="B17" s="363" t="s">
        <v>15</v>
      </c>
      <c r="C17" s="363"/>
      <c r="D17" s="151" t="s">
        <v>10</v>
      </c>
      <c r="E17" s="151" t="s">
        <v>10</v>
      </c>
      <c r="F17" s="152" t="s">
        <v>10</v>
      </c>
    </row>
    <row r="18" spans="1:6" s="38" customFormat="1" ht="15.75" customHeight="1" x14ac:dyDescent="0.25">
      <c r="A18" s="153" t="s">
        <v>0</v>
      </c>
      <c r="B18" s="245" t="s">
        <v>16</v>
      </c>
      <c r="C18" s="244"/>
      <c r="D18" s="70">
        <f>C13</f>
        <v>3325</v>
      </c>
      <c r="E18" s="70">
        <f>C13</f>
        <v>3325</v>
      </c>
      <c r="F18" s="155">
        <f>C13</f>
        <v>3325</v>
      </c>
    </row>
    <row r="19" spans="1:6" s="38" customFormat="1" ht="15.75" customHeight="1" x14ac:dyDescent="0.25">
      <c r="A19" s="153" t="s">
        <v>2</v>
      </c>
      <c r="B19" s="245" t="s">
        <v>17</v>
      </c>
      <c r="C19" s="246"/>
      <c r="D19" s="192"/>
      <c r="E19" s="192"/>
      <c r="F19" s="193"/>
    </row>
    <row r="20" spans="1:6" s="38" customFormat="1" ht="15.75" customHeight="1" x14ac:dyDescent="0.25">
      <c r="A20" s="153" t="s">
        <v>3</v>
      </c>
      <c r="B20" s="245" t="s">
        <v>18</v>
      </c>
      <c r="C20" s="159">
        <v>1518</v>
      </c>
      <c r="D20" s="192">
        <f>40%*C20</f>
        <v>607.20000000000005</v>
      </c>
      <c r="E20" s="192">
        <f>40%*C20</f>
        <v>607.20000000000005</v>
      </c>
      <c r="F20" s="193">
        <f>40%*C20</f>
        <v>607.20000000000005</v>
      </c>
    </row>
    <row r="21" spans="1:6" s="38" customFormat="1" ht="15.75" customHeight="1" x14ac:dyDescent="0.25">
      <c r="A21" s="153" t="s">
        <v>5</v>
      </c>
      <c r="B21" s="245" t="s">
        <v>19</v>
      </c>
      <c r="C21" s="246"/>
      <c r="D21" s="192"/>
      <c r="E21" s="192"/>
      <c r="F21" s="193"/>
    </row>
    <row r="22" spans="1:6" s="38" customFormat="1" ht="15.75" customHeight="1" x14ac:dyDescent="0.25">
      <c r="A22" s="153" t="s">
        <v>20</v>
      </c>
      <c r="B22" s="245" t="s">
        <v>196</v>
      </c>
      <c r="C22" s="246"/>
      <c r="D22" s="192"/>
      <c r="E22" s="192"/>
      <c r="F22" s="193"/>
    </row>
    <row r="23" spans="1:6" s="38" customFormat="1" x14ac:dyDescent="0.25">
      <c r="A23" s="153" t="s">
        <v>21</v>
      </c>
      <c r="B23" s="245" t="s">
        <v>133</v>
      </c>
      <c r="C23" s="247"/>
      <c r="D23" s="192"/>
      <c r="E23" s="192"/>
      <c r="F23" s="193"/>
    </row>
    <row r="24" spans="1:6" s="38" customFormat="1" ht="15.75" customHeight="1" x14ac:dyDescent="0.25">
      <c r="A24" s="153" t="s">
        <v>22</v>
      </c>
      <c r="B24" s="248" t="s">
        <v>134</v>
      </c>
      <c r="C24" s="247"/>
      <c r="D24" s="192"/>
      <c r="E24" s="192"/>
      <c r="F24" s="193"/>
    </row>
    <row r="25" spans="1:6" s="39" customFormat="1" ht="15.75" customHeight="1" x14ac:dyDescent="0.25">
      <c r="A25" s="341" t="s">
        <v>145</v>
      </c>
      <c r="B25" s="342"/>
      <c r="C25" s="342"/>
      <c r="D25" s="212">
        <f>SUM(D18:D24)</f>
        <v>3932.2</v>
      </c>
      <c r="E25" s="212">
        <f>SUM(E18:E24)</f>
        <v>3932.2</v>
      </c>
      <c r="F25" s="213">
        <f>SUM(F18:F24)</f>
        <v>3932.2</v>
      </c>
    </row>
    <row r="26" spans="1:6" s="39" customFormat="1" x14ac:dyDescent="0.25">
      <c r="A26" s="345" t="s">
        <v>48</v>
      </c>
      <c r="B26" s="346"/>
      <c r="C26" s="346"/>
      <c r="D26" s="228"/>
      <c r="E26" s="228"/>
      <c r="F26" s="229"/>
    </row>
    <row r="27" spans="1:6" s="38" customFormat="1" x14ac:dyDescent="0.25">
      <c r="A27" s="290" t="s">
        <v>136</v>
      </c>
      <c r="B27" s="337" t="s">
        <v>197</v>
      </c>
      <c r="C27" s="355"/>
      <c r="D27" s="168" t="s">
        <v>10</v>
      </c>
      <c r="E27" s="168" t="s">
        <v>10</v>
      </c>
      <c r="F27" s="169" t="s">
        <v>10</v>
      </c>
    </row>
    <row r="28" spans="1:6" s="38" customFormat="1" x14ac:dyDescent="0.25">
      <c r="A28" s="170" t="s">
        <v>0</v>
      </c>
      <c r="B28" s="298" t="s">
        <v>28</v>
      </c>
      <c r="C28" s="172">
        <f>1/12</f>
        <v>8.3299999999999999E-2</v>
      </c>
      <c r="D28" s="210">
        <f>(D25)*C28</f>
        <v>327.55</v>
      </c>
      <c r="E28" s="210">
        <f>(E25)*C28</f>
        <v>327.55</v>
      </c>
      <c r="F28" s="211">
        <f>(F25)*C28</f>
        <v>327.55</v>
      </c>
    </row>
    <row r="29" spans="1:6" s="38" customFormat="1" x14ac:dyDescent="0.25">
      <c r="A29" s="170" t="s">
        <v>2</v>
      </c>
      <c r="B29" s="298" t="s">
        <v>141</v>
      </c>
      <c r="C29" s="172">
        <v>0.1111</v>
      </c>
      <c r="D29" s="210">
        <f>(D25)*C29</f>
        <v>436.87</v>
      </c>
      <c r="E29" s="210">
        <f>(E25)*C29</f>
        <v>436.87</v>
      </c>
      <c r="F29" s="211">
        <f>(F25)*C29</f>
        <v>436.87</v>
      </c>
    </row>
    <row r="30" spans="1:6" x14ac:dyDescent="0.25">
      <c r="A30" s="361" t="s">
        <v>27</v>
      </c>
      <c r="B30" s="362"/>
      <c r="C30" s="175">
        <f>SUM(C28:C29)</f>
        <v>0.19439999999999999</v>
      </c>
      <c r="D30" s="58">
        <f>SUM(D28:D29)</f>
        <v>764.42</v>
      </c>
      <c r="E30" s="58">
        <f>SUM(E28:E29)</f>
        <v>764.42</v>
      </c>
      <c r="F30" s="59">
        <f>SUM(F28:F29)</f>
        <v>764.42</v>
      </c>
    </row>
    <row r="31" spans="1:6" ht="32.25" customHeight="1" x14ac:dyDescent="0.25">
      <c r="A31" s="358" t="s">
        <v>182</v>
      </c>
      <c r="B31" s="359"/>
      <c r="C31" s="359"/>
      <c r="D31" s="359"/>
      <c r="E31" s="359"/>
      <c r="F31" s="360"/>
    </row>
    <row r="32" spans="1:6" x14ac:dyDescent="0.25">
      <c r="A32" s="284" t="s">
        <v>136</v>
      </c>
      <c r="B32" s="356" t="s">
        <v>25</v>
      </c>
      <c r="C32" s="357"/>
      <c r="D32" s="214"/>
      <c r="E32" s="286"/>
      <c r="F32" s="249"/>
    </row>
    <row r="33" spans="1:6" x14ac:dyDescent="0.25">
      <c r="A33" s="170" t="s">
        <v>0</v>
      </c>
      <c r="B33" s="179" t="s">
        <v>296</v>
      </c>
      <c r="C33" s="172">
        <v>0.2</v>
      </c>
      <c r="D33" s="210">
        <f t="shared" ref="D33:D40" si="0">($D$25+D$30)*C33</f>
        <v>939.32</v>
      </c>
      <c r="E33" s="210">
        <f t="shared" ref="E33:E40" si="1">($E$25+E$30)*C33</f>
        <v>939.32</v>
      </c>
      <c r="F33" s="211">
        <f t="shared" ref="F33:F40" si="2">($F$25+F$30)*C33</f>
        <v>939.32</v>
      </c>
    </row>
    <row r="34" spans="1:6" x14ac:dyDescent="0.25">
      <c r="A34" s="170" t="s">
        <v>2</v>
      </c>
      <c r="B34" s="179" t="s">
        <v>297</v>
      </c>
      <c r="C34" s="180">
        <v>2.5000000000000001E-2</v>
      </c>
      <c r="D34" s="210">
        <f t="shared" si="0"/>
        <v>117.42</v>
      </c>
      <c r="E34" s="210">
        <f t="shared" si="1"/>
        <v>117.42</v>
      </c>
      <c r="F34" s="211">
        <f t="shared" si="2"/>
        <v>117.42</v>
      </c>
    </row>
    <row r="35" spans="1:6" ht="45" x14ac:dyDescent="0.25">
      <c r="A35" s="170" t="s">
        <v>3</v>
      </c>
      <c r="B35" s="283" t="s">
        <v>298</v>
      </c>
      <c r="C35" s="180">
        <v>0.03</v>
      </c>
      <c r="D35" s="210">
        <f t="shared" si="0"/>
        <v>140.9</v>
      </c>
      <c r="E35" s="210">
        <f t="shared" si="1"/>
        <v>140.9</v>
      </c>
      <c r="F35" s="211">
        <f t="shared" si="2"/>
        <v>140.9</v>
      </c>
    </row>
    <row r="36" spans="1:6" x14ac:dyDescent="0.25">
      <c r="A36" s="170" t="s">
        <v>5</v>
      </c>
      <c r="B36" s="179" t="s">
        <v>299</v>
      </c>
      <c r="C36" s="180">
        <v>1.4999999999999999E-2</v>
      </c>
      <c r="D36" s="210">
        <f t="shared" si="0"/>
        <v>70.45</v>
      </c>
      <c r="E36" s="210">
        <f t="shared" si="1"/>
        <v>70.45</v>
      </c>
      <c r="F36" s="211">
        <f t="shared" si="2"/>
        <v>70.45</v>
      </c>
    </row>
    <row r="37" spans="1:6" x14ac:dyDescent="0.25">
      <c r="A37" s="170" t="s">
        <v>20</v>
      </c>
      <c r="B37" s="179" t="s">
        <v>300</v>
      </c>
      <c r="C37" s="180">
        <v>0.01</v>
      </c>
      <c r="D37" s="210">
        <f t="shared" si="0"/>
        <v>46.97</v>
      </c>
      <c r="E37" s="210">
        <f t="shared" si="1"/>
        <v>46.97</v>
      </c>
      <c r="F37" s="211">
        <f t="shared" si="2"/>
        <v>46.97</v>
      </c>
    </row>
    <row r="38" spans="1:6" x14ac:dyDescent="0.25">
      <c r="A38" s="170" t="s">
        <v>21</v>
      </c>
      <c r="B38" s="181" t="s">
        <v>200</v>
      </c>
      <c r="C38" s="180">
        <v>6.0000000000000001E-3</v>
      </c>
      <c r="D38" s="210">
        <f t="shared" si="0"/>
        <v>28.18</v>
      </c>
      <c r="E38" s="210">
        <f t="shared" si="1"/>
        <v>28.18</v>
      </c>
      <c r="F38" s="211">
        <f t="shared" si="2"/>
        <v>28.18</v>
      </c>
    </row>
    <row r="39" spans="1:6" ht="30" x14ac:dyDescent="0.25">
      <c r="A39" s="170" t="s">
        <v>22</v>
      </c>
      <c r="B39" s="283" t="s">
        <v>301</v>
      </c>
      <c r="C39" s="180">
        <v>2E-3</v>
      </c>
      <c r="D39" s="210">
        <f t="shared" si="0"/>
        <v>9.39</v>
      </c>
      <c r="E39" s="210">
        <f t="shared" si="1"/>
        <v>9.39</v>
      </c>
      <c r="F39" s="211">
        <f t="shared" si="2"/>
        <v>9.39</v>
      </c>
    </row>
    <row r="40" spans="1:6" x14ac:dyDescent="0.25">
      <c r="A40" s="170" t="s">
        <v>26</v>
      </c>
      <c r="B40" s="182" t="s">
        <v>199</v>
      </c>
      <c r="C40" s="180">
        <v>0.08</v>
      </c>
      <c r="D40" s="210">
        <f t="shared" si="0"/>
        <v>375.73</v>
      </c>
      <c r="E40" s="210">
        <f t="shared" si="1"/>
        <v>375.73</v>
      </c>
      <c r="F40" s="211">
        <f t="shared" si="2"/>
        <v>375.73</v>
      </c>
    </row>
    <row r="41" spans="1:6" s="30" customFormat="1" x14ac:dyDescent="0.25">
      <c r="A41" s="361" t="s">
        <v>27</v>
      </c>
      <c r="B41" s="362"/>
      <c r="C41" s="183">
        <f>SUM(C33:C40)</f>
        <v>0.36799999999999999</v>
      </c>
      <c r="D41" s="58">
        <f>SUM(D33:D40)</f>
        <v>1728.36</v>
      </c>
      <c r="E41" s="58">
        <f>SUM(E33:E40)</f>
        <v>1728.36</v>
      </c>
      <c r="F41" s="59">
        <f>SUM(F33:F40)</f>
        <v>1728.36</v>
      </c>
    </row>
    <row r="42" spans="1:6" s="30" customFormat="1" x14ac:dyDescent="0.25">
      <c r="A42" s="343" t="s">
        <v>166</v>
      </c>
      <c r="B42" s="344"/>
      <c r="C42" s="344"/>
      <c r="D42" s="166"/>
      <c r="E42" s="166"/>
      <c r="F42" s="167"/>
    </row>
    <row r="43" spans="1:6" s="30" customFormat="1" x14ac:dyDescent="0.25">
      <c r="A43" s="250" t="s">
        <v>202</v>
      </c>
      <c r="B43" s="371" t="s">
        <v>203</v>
      </c>
      <c r="C43" s="372"/>
      <c r="D43" s="285"/>
      <c r="E43" s="291"/>
      <c r="F43" s="251"/>
    </row>
    <row r="44" spans="1:6" s="30" customFormat="1" x14ac:dyDescent="0.25">
      <c r="A44" s="189" t="s">
        <v>0</v>
      </c>
      <c r="B44" s="252" t="s">
        <v>137</v>
      </c>
      <c r="C44" s="191"/>
      <c r="D44" s="231">
        <v>0</v>
      </c>
      <c r="E44" s="231">
        <v>0</v>
      </c>
      <c r="F44" s="232">
        <v>0</v>
      </c>
    </row>
    <row r="45" spans="1:6" s="30" customFormat="1" x14ac:dyDescent="0.25">
      <c r="A45" s="194" t="s">
        <v>2</v>
      </c>
      <c r="B45" s="248" t="s">
        <v>183</v>
      </c>
      <c r="C45" s="160">
        <v>626.94000000000005</v>
      </c>
      <c r="D45" s="70">
        <f>C45-(C45*0.99%)</f>
        <v>620.73</v>
      </c>
      <c r="E45" s="70">
        <f>C45-(C45*0.99%)</f>
        <v>620.73</v>
      </c>
      <c r="F45" s="155">
        <f>C45-(C45*0.99%)</f>
        <v>620.73</v>
      </c>
    </row>
    <row r="46" spans="1:6" s="30" customFormat="1" x14ac:dyDescent="0.25">
      <c r="A46" s="170" t="s">
        <v>3</v>
      </c>
      <c r="B46" s="298" t="s">
        <v>129</v>
      </c>
      <c r="C46" s="173"/>
      <c r="D46" s="231">
        <v>0</v>
      </c>
      <c r="E46" s="231">
        <v>0</v>
      </c>
      <c r="F46" s="232">
        <v>0</v>
      </c>
    </row>
    <row r="47" spans="1:6" s="30" customFormat="1" x14ac:dyDescent="0.25">
      <c r="A47" s="170" t="s">
        <v>5</v>
      </c>
      <c r="B47" s="298" t="s">
        <v>130</v>
      </c>
      <c r="C47" s="172">
        <v>0.5</v>
      </c>
      <c r="D47" s="196">
        <f>(D18*C47*0.0199*2)/12</f>
        <v>5.51</v>
      </c>
      <c r="E47" s="196">
        <f>(E18*C47*0.0199*2)/12</f>
        <v>5.51</v>
      </c>
      <c r="F47" s="197">
        <f>(F18*C47*0.0199*2)/12</f>
        <v>5.51</v>
      </c>
    </row>
    <row r="48" spans="1:6" s="30" customFormat="1" x14ac:dyDescent="0.25">
      <c r="A48" s="170" t="s">
        <v>20</v>
      </c>
      <c r="B48" s="298" t="s">
        <v>131</v>
      </c>
      <c r="C48" s="173"/>
      <c r="D48" s="299">
        <v>50.76</v>
      </c>
      <c r="E48" s="299">
        <v>50.76</v>
      </c>
      <c r="F48" s="300">
        <v>50.76</v>
      </c>
    </row>
    <row r="49" spans="1:6" s="30" customFormat="1" ht="15.75" customHeight="1" x14ac:dyDescent="0.25">
      <c r="A49" s="287" t="s">
        <v>23</v>
      </c>
      <c r="B49" s="288"/>
      <c r="C49" s="198"/>
      <c r="D49" s="58">
        <f>SUM(D44:D48)</f>
        <v>677</v>
      </c>
      <c r="E49" s="58">
        <f>SUM(E44:E48)</f>
        <v>677</v>
      </c>
      <c r="F49" s="59">
        <f>SUM(F44:F48)</f>
        <v>677</v>
      </c>
    </row>
    <row r="50" spans="1:6" s="30" customFormat="1" ht="15.75" customHeight="1" x14ac:dyDescent="0.25">
      <c r="A50" s="343" t="s">
        <v>210</v>
      </c>
      <c r="B50" s="344"/>
      <c r="C50" s="344"/>
      <c r="D50" s="166"/>
      <c r="E50" s="166"/>
      <c r="F50" s="167"/>
    </row>
    <row r="51" spans="1:6" s="30" customFormat="1" ht="15.75" customHeight="1" x14ac:dyDescent="0.25">
      <c r="A51" s="294" t="s">
        <v>136</v>
      </c>
      <c r="B51" s="200" t="s">
        <v>138</v>
      </c>
      <c r="C51" s="295"/>
      <c r="D51" s="202">
        <f>D30</f>
        <v>764.42</v>
      </c>
      <c r="E51" s="202">
        <f>E30</f>
        <v>764.42</v>
      </c>
      <c r="F51" s="204">
        <f>F30</f>
        <v>764.42</v>
      </c>
    </row>
    <row r="52" spans="1:6" s="30" customFormat="1" ht="15.75" customHeight="1" x14ac:dyDescent="0.25">
      <c r="A52" s="294" t="s">
        <v>201</v>
      </c>
      <c r="B52" s="200" t="s">
        <v>139</v>
      </c>
      <c r="C52" s="295"/>
      <c r="D52" s="202">
        <f>D41</f>
        <v>1728.36</v>
      </c>
      <c r="E52" s="202">
        <f>E41</f>
        <v>1728.36</v>
      </c>
      <c r="F52" s="204">
        <f>F41</f>
        <v>1728.36</v>
      </c>
    </row>
    <row r="53" spans="1:6" s="30" customFormat="1" ht="15.75" customHeight="1" x14ac:dyDescent="0.25">
      <c r="A53" s="294" t="s">
        <v>202</v>
      </c>
      <c r="B53" s="200" t="s">
        <v>140</v>
      </c>
      <c r="C53" s="295"/>
      <c r="D53" s="202">
        <f>D49</f>
        <v>677</v>
      </c>
      <c r="E53" s="202">
        <f>E49</f>
        <v>677</v>
      </c>
      <c r="F53" s="204">
        <f>F49</f>
        <v>677</v>
      </c>
    </row>
    <row r="54" spans="1:6" s="30" customFormat="1" ht="15.75" customHeight="1" x14ac:dyDescent="0.25">
      <c r="A54" s="341" t="s">
        <v>146</v>
      </c>
      <c r="B54" s="342"/>
      <c r="C54" s="342"/>
      <c r="D54" s="212">
        <f>SUM(D51:D53)</f>
        <v>3169.78</v>
      </c>
      <c r="E54" s="212">
        <f>SUM(E51:E53)</f>
        <v>3169.78</v>
      </c>
      <c r="F54" s="213">
        <f>SUM(F51:F53)</f>
        <v>3169.78</v>
      </c>
    </row>
    <row r="55" spans="1:6" s="30" customFormat="1" ht="15.75" customHeight="1" x14ac:dyDescent="0.25">
      <c r="A55" s="345" t="s">
        <v>155</v>
      </c>
      <c r="B55" s="346"/>
      <c r="C55" s="346"/>
      <c r="D55" s="228"/>
      <c r="E55" s="228"/>
      <c r="F55" s="229"/>
    </row>
    <row r="56" spans="1:6" s="30" customFormat="1" ht="15.75" customHeight="1" x14ac:dyDescent="0.25">
      <c r="A56" s="290" t="s">
        <v>192</v>
      </c>
      <c r="B56" s="337" t="s">
        <v>32</v>
      </c>
      <c r="C56" s="338"/>
      <c r="D56" s="168" t="s">
        <v>10</v>
      </c>
      <c r="E56" s="168" t="s">
        <v>10</v>
      </c>
      <c r="F56" s="169" t="s">
        <v>10</v>
      </c>
    </row>
    <row r="57" spans="1:6" s="30" customFormat="1" ht="15.75" customHeight="1" x14ac:dyDescent="0.25">
      <c r="A57" s="170" t="s">
        <v>0</v>
      </c>
      <c r="B57" s="298" t="s">
        <v>33</v>
      </c>
      <c r="C57" s="172">
        <v>4.5999999999999999E-3</v>
      </c>
      <c r="D57" s="210">
        <f>D$25*C57</f>
        <v>18.09</v>
      </c>
      <c r="E57" s="210">
        <f>E$25*C57</f>
        <v>18.09</v>
      </c>
      <c r="F57" s="211">
        <f>F$25*C57</f>
        <v>18.09</v>
      </c>
    </row>
    <row r="58" spans="1:6" s="30" customFormat="1" ht="15.75" customHeight="1" x14ac:dyDescent="0.25">
      <c r="A58" s="170" t="s">
        <v>2</v>
      </c>
      <c r="B58" s="298" t="s">
        <v>34</v>
      </c>
      <c r="C58" s="172">
        <v>4.0000000000000002E-4</v>
      </c>
      <c r="D58" s="210">
        <f>D$25*C58</f>
        <v>1.57</v>
      </c>
      <c r="E58" s="210">
        <f>E$25*C58</f>
        <v>1.57</v>
      </c>
      <c r="F58" s="211">
        <f>F$25*C58</f>
        <v>1.57</v>
      </c>
    </row>
    <row r="59" spans="1:6" s="30" customFormat="1" ht="15.75" customHeight="1" x14ac:dyDescent="0.25">
      <c r="A59" s="170" t="s">
        <v>3</v>
      </c>
      <c r="B59" s="253" t="s">
        <v>35</v>
      </c>
      <c r="C59" s="172">
        <v>1.9400000000000001E-2</v>
      </c>
      <c r="D59" s="210">
        <f>D$25*C59</f>
        <v>76.28</v>
      </c>
      <c r="E59" s="210">
        <f>E$25*C59</f>
        <v>76.28</v>
      </c>
      <c r="F59" s="211">
        <f>F$25*C59</f>
        <v>76.28</v>
      </c>
    </row>
    <row r="60" spans="1:6" s="30" customFormat="1" ht="30.75" customHeight="1" x14ac:dyDescent="0.25">
      <c r="A60" s="170" t="s">
        <v>5</v>
      </c>
      <c r="B60" s="298" t="s">
        <v>304</v>
      </c>
      <c r="C60" s="172">
        <v>7.7000000000000002E-3</v>
      </c>
      <c r="D60" s="210">
        <f>D$25*C60</f>
        <v>30.28</v>
      </c>
      <c r="E60" s="210">
        <f>E$25*C60</f>
        <v>30.28</v>
      </c>
      <c r="F60" s="211">
        <f>F$25*C60</f>
        <v>30.28</v>
      </c>
    </row>
    <row r="61" spans="1:6" s="30" customFormat="1" ht="15.75" customHeight="1" x14ac:dyDescent="0.25">
      <c r="A61" s="170" t="s">
        <v>20</v>
      </c>
      <c r="B61" s="298" t="s">
        <v>142</v>
      </c>
      <c r="C61" s="172">
        <v>0.04</v>
      </c>
      <c r="D61" s="210">
        <f>D$25*C61</f>
        <v>157.29</v>
      </c>
      <c r="E61" s="210">
        <f>E$25*C61</f>
        <v>157.29</v>
      </c>
      <c r="F61" s="211">
        <f>F$25*C61</f>
        <v>157.29</v>
      </c>
    </row>
    <row r="62" spans="1:6" s="30" customFormat="1" ht="15.75" customHeight="1" x14ac:dyDescent="0.25">
      <c r="A62" s="341" t="s">
        <v>147</v>
      </c>
      <c r="B62" s="342"/>
      <c r="C62" s="280">
        <f>SUM(C57:C61)</f>
        <v>7.2099999999999997E-2</v>
      </c>
      <c r="D62" s="212">
        <f>SUM(D57:D61)</f>
        <v>283.51</v>
      </c>
      <c r="E62" s="212">
        <f>SUM(E57:E61)</f>
        <v>283.51</v>
      </c>
      <c r="F62" s="213">
        <f>SUM(F57:F61)</f>
        <v>283.51</v>
      </c>
    </row>
    <row r="63" spans="1:6" s="30" customFormat="1" x14ac:dyDescent="0.25">
      <c r="A63" s="345" t="s">
        <v>156</v>
      </c>
      <c r="B63" s="346"/>
      <c r="C63" s="346"/>
      <c r="D63" s="228"/>
      <c r="E63" s="228"/>
      <c r="F63" s="229"/>
    </row>
    <row r="64" spans="1:6" s="30" customFormat="1" x14ac:dyDescent="0.25">
      <c r="A64" s="290" t="s">
        <v>191</v>
      </c>
      <c r="B64" s="403" t="s">
        <v>190</v>
      </c>
      <c r="C64" s="403"/>
      <c r="D64" s="168" t="s">
        <v>10</v>
      </c>
      <c r="E64" s="168" t="s">
        <v>10</v>
      </c>
      <c r="F64" s="169" t="s">
        <v>10</v>
      </c>
    </row>
    <row r="65" spans="1:6" s="30" customFormat="1" x14ac:dyDescent="0.25">
      <c r="A65" s="170" t="s">
        <v>0</v>
      </c>
      <c r="B65" s="298" t="s">
        <v>184</v>
      </c>
      <c r="C65" s="172">
        <f>C29/12</f>
        <v>9.2999999999999992E-3</v>
      </c>
      <c r="D65" s="210">
        <f t="shared" ref="D65:D71" si="3">(D$25+D$54+D$62+D$86)*C65</f>
        <v>69</v>
      </c>
      <c r="E65" s="210">
        <f t="shared" ref="E65:E71" si="4">(E$25+E$54+E$62+E$86)*C65</f>
        <v>69</v>
      </c>
      <c r="F65" s="211">
        <f t="shared" ref="F65:F71" si="5">(F$25+F$54+F$62+F$86)*C65</f>
        <v>69</v>
      </c>
    </row>
    <row r="66" spans="1:6" s="30" customFormat="1" x14ac:dyDescent="0.25">
      <c r="A66" s="170" t="s">
        <v>2</v>
      </c>
      <c r="B66" s="298" t="s">
        <v>185</v>
      </c>
      <c r="C66" s="172">
        <v>1.3899999999999999E-2</v>
      </c>
      <c r="D66" s="210">
        <f t="shared" si="3"/>
        <v>103.13</v>
      </c>
      <c r="E66" s="210">
        <f t="shared" si="4"/>
        <v>103.13</v>
      </c>
      <c r="F66" s="211">
        <f t="shared" si="5"/>
        <v>103.13</v>
      </c>
    </row>
    <row r="67" spans="1:6" s="30" customFormat="1" x14ac:dyDescent="0.25">
      <c r="A67" s="170" t="s">
        <v>3</v>
      </c>
      <c r="B67" s="298" t="s">
        <v>188</v>
      </c>
      <c r="C67" s="172">
        <v>1.2999999999999999E-3</v>
      </c>
      <c r="D67" s="210">
        <f t="shared" si="3"/>
        <v>9.65</v>
      </c>
      <c r="E67" s="210">
        <f t="shared" si="4"/>
        <v>9.65</v>
      </c>
      <c r="F67" s="211">
        <f t="shared" si="5"/>
        <v>9.65</v>
      </c>
    </row>
    <row r="68" spans="1:6" s="30" customFormat="1" x14ac:dyDescent="0.25">
      <c r="A68" s="170" t="s">
        <v>5</v>
      </c>
      <c r="B68" s="298" t="s">
        <v>186</v>
      </c>
      <c r="C68" s="172">
        <v>2.0000000000000001E-4</v>
      </c>
      <c r="D68" s="210">
        <f t="shared" si="3"/>
        <v>1.48</v>
      </c>
      <c r="E68" s="210">
        <f t="shared" si="4"/>
        <v>1.48</v>
      </c>
      <c r="F68" s="211">
        <f t="shared" si="5"/>
        <v>1.48</v>
      </c>
    </row>
    <row r="69" spans="1:6" s="30" customFormat="1" x14ac:dyDescent="0.25">
      <c r="A69" s="170" t="s">
        <v>20</v>
      </c>
      <c r="B69" s="298" t="s">
        <v>291</v>
      </c>
      <c r="C69" s="172">
        <v>2.8E-3</v>
      </c>
      <c r="D69" s="210">
        <f t="shared" si="3"/>
        <v>20.77</v>
      </c>
      <c r="E69" s="210">
        <f t="shared" si="4"/>
        <v>20.77</v>
      </c>
      <c r="F69" s="211">
        <f t="shared" si="5"/>
        <v>20.77</v>
      </c>
    </row>
    <row r="70" spans="1:6" s="30" customFormat="1" x14ac:dyDescent="0.25">
      <c r="A70" s="170" t="s">
        <v>21</v>
      </c>
      <c r="B70" s="298" t="s">
        <v>187</v>
      </c>
      <c r="C70" s="172">
        <v>2.9999999999999997E-4</v>
      </c>
      <c r="D70" s="210">
        <f t="shared" si="3"/>
        <v>2.23</v>
      </c>
      <c r="E70" s="210">
        <f t="shared" si="4"/>
        <v>2.23</v>
      </c>
      <c r="F70" s="211">
        <f t="shared" si="5"/>
        <v>2.23</v>
      </c>
    </row>
    <row r="71" spans="1:6" s="30" customFormat="1" ht="15.75" customHeight="1" x14ac:dyDescent="0.25">
      <c r="A71" s="170" t="s">
        <v>22</v>
      </c>
      <c r="B71" s="289" t="s">
        <v>189</v>
      </c>
      <c r="C71" s="172">
        <v>0</v>
      </c>
      <c r="D71" s="210">
        <f t="shared" si="3"/>
        <v>0</v>
      </c>
      <c r="E71" s="210">
        <f t="shared" si="4"/>
        <v>0</v>
      </c>
      <c r="F71" s="211">
        <f t="shared" si="5"/>
        <v>0</v>
      </c>
    </row>
    <row r="72" spans="1:6" s="30" customFormat="1" x14ac:dyDescent="0.25">
      <c r="A72" s="361" t="s">
        <v>29</v>
      </c>
      <c r="B72" s="362"/>
      <c r="C72" s="183">
        <f>SUM(C65:C71)</f>
        <v>2.7799999999999998E-2</v>
      </c>
      <c r="D72" s="58">
        <f>SUM(D65:D71)</f>
        <v>206.26</v>
      </c>
      <c r="E72" s="58">
        <f>SUM(E65:E71)</f>
        <v>206.26</v>
      </c>
      <c r="F72" s="59">
        <f>SUM(F65:F71)</f>
        <v>206.26</v>
      </c>
    </row>
    <row r="73" spans="1:6" s="30" customFormat="1" x14ac:dyDescent="0.25">
      <c r="A73" s="294"/>
      <c r="B73" s="295"/>
      <c r="C73" s="201"/>
      <c r="D73" s="70"/>
      <c r="E73" s="70"/>
      <c r="F73" s="203"/>
    </row>
    <row r="74" spans="1:6" s="30" customFormat="1" x14ac:dyDescent="0.25">
      <c r="A74" s="294"/>
      <c r="B74" s="363" t="s">
        <v>193</v>
      </c>
      <c r="C74" s="373"/>
      <c r="D74" s="168" t="s">
        <v>10</v>
      </c>
      <c r="E74" s="168" t="s">
        <v>10</v>
      </c>
      <c r="F74" s="169" t="s">
        <v>10</v>
      </c>
    </row>
    <row r="75" spans="1:6" s="30" customFormat="1" x14ac:dyDescent="0.25">
      <c r="A75" s="170" t="s">
        <v>0</v>
      </c>
      <c r="B75" s="298" t="s">
        <v>194</v>
      </c>
      <c r="C75" s="172">
        <v>0</v>
      </c>
      <c r="D75" s="210">
        <f>(D$25+D$54+D$62)*C75</f>
        <v>0</v>
      </c>
      <c r="E75" s="210">
        <f>(E$25+E$54+E$62)*C75</f>
        <v>0</v>
      </c>
      <c r="F75" s="211">
        <f>(F$25+F$54+F$62)*C75</f>
        <v>0</v>
      </c>
    </row>
    <row r="76" spans="1:6" s="30" customFormat="1" ht="15.75" customHeight="1" x14ac:dyDescent="0.25">
      <c r="A76" s="361" t="s">
        <v>27</v>
      </c>
      <c r="B76" s="362"/>
      <c r="C76" s="205">
        <f>C75</f>
        <v>0</v>
      </c>
      <c r="D76" s="58">
        <f>D75</f>
        <v>0</v>
      </c>
      <c r="E76" s="58">
        <f>E75</f>
        <v>0</v>
      </c>
      <c r="F76" s="59">
        <f>F75</f>
        <v>0</v>
      </c>
    </row>
    <row r="77" spans="1:6" s="30" customFormat="1" ht="15.75" customHeight="1" x14ac:dyDescent="0.25">
      <c r="A77" s="343" t="s">
        <v>30</v>
      </c>
      <c r="B77" s="344"/>
      <c r="C77" s="344"/>
      <c r="D77" s="166"/>
      <c r="E77" s="166"/>
      <c r="F77" s="167"/>
    </row>
    <row r="78" spans="1:6" s="30" customFormat="1" ht="15.75" customHeight="1" x14ac:dyDescent="0.25">
      <c r="A78" s="399" t="s">
        <v>195</v>
      </c>
      <c r="B78" s="400"/>
      <c r="C78" s="400"/>
      <c r="D78" s="220"/>
      <c r="E78" s="220"/>
      <c r="F78" s="233"/>
    </row>
    <row r="79" spans="1:6" s="30" customFormat="1" ht="15.75" customHeight="1" x14ac:dyDescent="0.25">
      <c r="A79" s="290">
        <v>4</v>
      </c>
      <c r="B79" s="337" t="s">
        <v>31</v>
      </c>
      <c r="C79" s="338"/>
      <c r="D79" s="168" t="s">
        <v>10</v>
      </c>
      <c r="E79" s="168" t="s">
        <v>10</v>
      </c>
      <c r="F79" s="169" t="s">
        <v>10</v>
      </c>
    </row>
    <row r="80" spans="1:6" s="30" customFormat="1" ht="15.75" customHeight="1" x14ac:dyDescent="0.25">
      <c r="A80" s="170" t="s">
        <v>191</v>
      </c>
      <c r="B80" s="289" t="s">
        <v>190</v>
      </c>
      <c r="C80" s="172">
        <f>C72</f>
        <v>2.7799999999999998E-2</v>
      </c>
      <c r="D80" s="210">
        <f>D72</f>
        <v>206.26</v>
      </c>
      <c r="E80" s="210">
        <f>E72</f>
        <v>206.26</v>
      </c>
      <c r="F80" s="211">
        <f>F72</f>
        <v>206.26</v>
      </c>
    </row>
    <row r="81" spans="1:6" s="30" customFormat="1" ht="15.75" customHeight="1" x14ac:dyDescent="0.25">
      <c r="A81" s="170" t="s">
        <v>207</v>
      </c>
      <c r="B81" s="289" t="s">
        <v>193</v>
      </c>
      <c r="C81" s="172">
        <v>0</v>
      </c>
      <c r="D81" s="210">
        <f>(D$25+D$54+D$62)*C81</f>
        <v>0</v>
      </c>
      <c r="E81" s="210">
        <f>(E$25+E$54+E$62)*C81</f>
        <v>0</v>
      </c>
      <c r="F81" s="211">
        <f>(F$25+F$54+F$62)*C81</f>
        <v>0</v>
      </c>
    </row>
    <row r="82" spans="1:6" s="30" customFormat="1" ht="15.75" customHeight="1" x14ac:dyDescent="0.25">
      <c r="A82" s="361" t="s">
        <v>27</v>
      </c>
      <c r="B82" s="362"/>
      <c r="C82" s="175">
        <f>SUM(C80:C81)</f>
        <v>2.7799999999999998E-2</v>
      </c>
      <c r="D82" s="58">
        <f>SUM(D80:D81)</f>
        <v>206.26</v>
      </c>
      <c r="E82" s="58">
        <f>SUM(E80:E81)</f>
        <v>206.26</v>
      </c>
      <c r="F82" s="59">
        <f>SUM(F80:F81)</f>
        <v>206.26</v>
      </c>
    </row>
    <row r="83" spans="1:6" s="30" customFormat="1" ht="15.75" customHeight="1" x14ac:dyDescent="0.25">
      <c r="A83" s="341" t="s">
        <v>148</v>
      </c>
      <c r="B83" s="342"/>
      <c r="C83" s="342"/>
      <c r="D83" s="212">
        <f>SUM(D76+D82)</f>
        <v>206.26</v>
      </c>
      <c r="E83" s="212">
        <f>SUM(E76+E82)</f>
        <v>206.26</v>
      </c>
      <c r="F83" s="213">
        <f>SUM(F76+F82)</f>
        <v>206.26</v>
      </c>
    </row>
    <row r="84" spans="1:6" s="30" customFormat="1" ht="15.75" customHeight="1" x14ac:dyDescent="0.25">
      <c r="A84" s="345" t="s">
        <v>157</v>
      </c>
      <c r="B84" s="346"/>
      <c r="C84" s="346"/>
      <c r="D84" s="228"/>
      <c r="E84" s="228"/>
      <c r="F84" s="229"/>
    </row>
    <row r="85" spans="1:6" s="30" customFormat="1" ht="15.75" customHeight="1" x14ac:dyDescent="0.25">
      <c r="A85" s="290">
        <v>5</v>
      </c>
      <c r="B85" s="337" t="s">
        <v>24</v>
      </c>
      <c r="C85" s="338"/>
      <c r="D85" s="168" t="s">
        <v>10</v>
      </c>
      <c r="E85" s="168" t="s">
        <v>10</v>
      </c>
      <c r="F85" s="169" t="s">
        <v>10</v>
      </c>
    </row>
    <row r="86" spans="1:6" s="30" customFormat="1" ht="15.75" customHeight="1" x14ac:dyDescent="0.25">
      <c r="A86" s="194" t="s">
        <v>0</v>
      </c>
      <c r="B86" s="336" t="s">
        <v>208</v>
      </c>
      <c r="C86" s="336"/>
      <c r="D86" s="210">
        <f>Uniformes!H7</f>
        <v>33.93</v>
      </c>
      <c r="E86" s="210">
        <f>Uniformes!H7</f>
        <v>33.93</v>
      </c>
      <c r="F86" s="211">
        <f>Uniformes!H7</f>
        <v>33.93</v>
      </c>
    </row>
    <row r="87" spans="1:6" s="30" customFormat="1" ht="15.75" customHeight="1" x14ac:dyDescent="0.25">
      <c r="A87" s="194" t="s">
        <v>2</v>
      </c>
      <c r="B87" s="336" t="s">
        <v>209</v>
      </c>
      <c r="C87" s="336"/>
      <c r="D87" s="210">
        <f>Materiais!H18</f>
        <v>117.96</v>
      </c>
      <c r="E87" s="210">
        <f>Materiais!H19</f>
        <v>117.96</v>
      </c>
      <c r="F87" s="211">
        <f>Materiais!H20</f>
        <v>58.98</v>
      </c>
    </row>
    <row r="88" spans="1:6" s="30" customFormat="1" ht="15.75" customHeight="1" x14ac:dyDescent="0.25">
      <c r="A88" s="194" t="s">
        <v>3</v>
      </c>
      <c r="B88" s="336" t="s">
        <v>179</v>
      </c>
      <c r="C88" s="336"/>
      <c r="D88" s="210">
        <f>Equipamentos!H18</f>
        <v>2215.94</v>
      </c>
      <c r="E88" s="210">
        <f>Equipamentos!H19</f>
        <v>2215.94</v>
      </c>
      <c r="F88" s="211">
        <f>Equipamentos!H20</f>
        <v>1107.97</v>
      </c>
    </row>
    <row r="89" spans="1:6" s="30" customFormat="1" ht="15.75" customHeight="1" x14ac:dyDescent="0.25">
      <c r="A89" s="194" t="s">
        <v>5</v>
      </c>
      <c r="B89" s="336" t="s">
        <v>132</v>
      </c>
      <c r="C89" s="336"/>
      <c r="D89" s="210">
        <v>0</v>
      </c>
      <c r="E89" s="210">
        <v>0</v>
      </c>
      <c r="F89" s="211">
        <v>0</v>
      </c>
    </row>
    <row r="90" spans="1:6" s="30" customFormat="1" ht="15.75" customHeight="1" x14ac:dyDescent="0.25">
      <c r="A90" s="341" t="s">
        <v>149</v>
      </c>
      <c r="B90" s="342"/>
      <c r="C90" s="342"/>
      <c r="D90" s="212">
        <f>SUM(D86:D89)</f>
        <v>2367.83</v>
      </c>
      <c r="E90" s="212">
        <f>SUM(E86:E89)</f>
        <v>2367.83</v>
      </c>
      <c r="F90" s="213">
        <f>SUM(F86:F89)</f>
        <v>1200.8800000000001</v>
      </c>
    </row>
    <row r="91" spans="1:6" s="30" customFormat="1" ht="30" customHeight="1" x14ac:dyDescent="0.25">
      <c r="A91" s="339" t="s">
        <v>211</v>
      </c>
      <c r="B91" s="340"/>
      <c r="C91" s="340"/>
      <c r="D91" s="234">
        <f>D90+D83+D62+D54+D25</f>
        <v>9959.58</v>
      </c>
      <c r="E91" s="234">
        <f>E90+E83+E62+E54+E25</f>
        <v>9959.58</v>
      </c>
      <c r="F91" s="235">
        <f>F90+F83+F62+F54+F25</f>
        <v>8792.6299999999992</v>
      </c>
    </row>
    <row r="92" spans="1:6" s="30" customFormat="1" ht="19.5" customHeight="1" x14ac:dyDescent="0.25">
      <c r="A92" s="345" t="s">
        <v>158</v>
      </c>
      <c r="B92" s="346"/>
      <c r="C92" s="346"/>
      <c r="D92" s="228"/>
      <c r="E92" s="228"/>
      <c r="F92" s="229"/>
    </row>
    <row r="93" spans="1:6" s="30" customFormat="1" x14ac:dyDescent="0.25">
      <c r="A93" s="290">
        <v>6</v>
      </c>
      <c r="B93" s="337" t="s">
        <v>38</v>
      </c>
      <c r="C93" s="355"/>
      <c r="D93" s="168" t="s">
        <v>10</v>
      </c>
      <c r="E93" s="168" t="s">
        <v>10</v>
      </c>
      <c r="F93" s="169" t="s">
        <v>10</v>
      </c>
    </row>
    <row r="94" spans="1:6" s="30" customFormat="1" x14ac:dyDescent="0.25">
      <c r="A94" s="170" t="s">
        <v>0</v>
      </c>
      <c r="B94" s="298" t="s">
        <v>39</v>
      </c>
      <c r="C94" s="216">
        <v>0.05</v>
      </c>
      <c r="D94" s="210">
        <f>+D91*C94</f>
        <v>497.98</v>
      </c>
      <c r="E94" s="210">
        <f>+E91*C94</f>
        <v>497.98</v>
      </c>
      <c r="F94" s="211">
        <f>+F91*C94</f>
        <v>439.63</v>
      </c>
    </row>
    <row r="95" spans="1:6" s="30" customFormat="1" x14ac:dyDescent="0.25">
      <c r="A95" s="170" t="s">
        <v>2</v>
      </c>
      <c r="B95" s="298" t="s">
        <v>40</v>
      </c>
      <c r="C95" s="216">
        <v>0.1</v>
      </c>
      <c r="D95" s="210">
        <f>C95*(+D91+D94)</f>
        <v>1045.76</v>
      </c>
      <c r="E95" s="210">
        <f>C95*(+E91+E94)</f>
        <v>1045.76</v>
      </c>
      <c r="F95" s="211">
        <f>C95*(+F91+F94)</f>
        <v>923.23</v>
      </c>
    </row>
    <row r="96" spans="1:6" s="30" customFormat="1" ht="30" x14ac:dyDescent="0.25">
      <c r="A96" s="170"/>
      <c r="B96" s="298" t="s">
        <v>47</v>
      </c>
      <c r="C96" s="172">
        <f>1-C103</f>
        <v>0.85750000000000004</v>
      </c>
      <c r="D96" s="210">
        <f>+D91+D94+D95</f>
        <v>11503.32</v>
      </c>
      <c r="E96" s="210">
        <f>+E91+E94+E95</f>
        <v>11503.32</v>
      </c>
      <c r="F96" s="211">
        <f>+F91+F94+F95</f>
        <v>10155.49</v>
      </c>
    </row>
    <row r="97" spans="1:6" s="30" customFormat="1" x14ac:dyDescent="0.25">
      <c r="A97" s="170"/>
      <c r="B97" s="289"/>
      <c r="C97" s="40"/>
      <c r="D97" s="236">
        <f>+D96/C96</f>
        <v>13414.95</v>
      </c>
      <c r="E97" s="236">
        <f>+E96/C96</f>
        <v>13414.95</v>
      </c>
      <c r="F97" s="237">
        <f>+F96/C96</f>
        <v>11843.14</v>
      </c>
    </row>
    <row r="98" spans="1:6" s="30" customFormat="1" x14ac:dyDescent="0.25">
      <c r="A98" s="170" t="s">
        <v>3</v>
      </c>
      <c r="B98" s="289" t="s">
        <v>41</v>
      </c>
      <c r="C98" s="217">
        <f>C100+C101+C102</f>
        <v>0.14249999999999999</v>
      </c>
      <c r="D98" s="236"/>
      <c r="E98" s="236"/>
      <c r="F98" s="237"/>
    </row>
    <row r="99" spans="1:6" s="30" customFormat="1" x14ac:dyDescent="0.25">
      <c r="A99" s="170" t="s">
        <v>284</v>
      </c>
      <c r="B99" s="289" t="s">
        <v>280</v>
      </c>
      <c r="C99" s="254">
        <f>C100+C101</f>
        <v>9.2499999999999999E-2</v>
      </c>
      <c r="D99" s="210"/>
      <c r="E99" s="210"/>
      <c r="F99" s="211"/>
    </row>
    <row r="100" spans="1:6" s="30" customFormat="1" x14ac:dyDescent="0.25">
      <c r="A100" s="170" t="s">
        <v>285</v>
      </c>
      <c r="B100" s="298" t="s">
        <v>281</v>
      </c>
      <c r="C100" s="172">
        <v>1.6500000000000001E-2</v>
      </c>
      <c r="D100" s="210">
        <f>+D97*C100</f>
        <v>221.35</v>
      </c>
      <c r="E100" s="210">
        <f>+E97*C100</f>
        <v>221.35</v>
      </c>
      <c r="F100" s="211">
        <f>+F97*C100</f>
        <v>195.41</v>
      </c>
    </row>
    <row r="101" spans="1:6" s="30" customFormat="1" x14ac:dyDescent="0.25">
      <c r="A101" s="170" t="s">
        <v>286</v>
      </c>
      <c r="B101" s="298" t="s">
        <v>282</v>
      </c>
      <c r="C101" s="172">
        <v>7.5999999999999998E-2</v>
      </c>
      <c r="D101" s="210">
        <f>+D97*C101</f>
        <v>1019.54</v>
      </c>
      <c r="E101" s="210">
        <f>+E97*C101</f>
        <v>1019.54</v>
      </c>
      <c r="F101" s="211">
        <f>+F97*C101</f>
        <v>900.08</v>
      </c>
    </row>
    <row r="102" spans="1:6" s="30" customFormat="1" x14ac:dyDescent="0.25">
      <c r="A102" s="170" t="s">
        <v>287</v>
      </c>
      <c r="B102" s="298" t="s">
        <v>283</v>
      </c>
      <c r="C102" s="172">
        <v>0.05</v>
      </c>
      <c r="D102" s="210">
        <f>+D97*C102</f>
        <v>670.75</v>
      </c>
      <c r="E102" s="210">
        <f>+E97*C102</f>
        <v>670.75</v>
      </c>
      <c r="F102" s="211">
        <f>+F97*C102</f>
        <v>592.16</v>
      </c>
    </row>
    <row r="103" spans="1:6" s="30" customFormat="1" x14ac:dyDescent="0.25">
      <c r="A103" s="290"/>
      <c r="B103" s="220" t="s">
        <v>42</v>
      </c>
      <c r="C103" s="221">
        <f>C98</f>
        <v>0.14249999999999999</v>
      </c>
      <c r="D103" s="222">
        <f>SUM(D100:D102)</f>
        <v>1911.64</v>
      </c>
      <c r="E103" s="222">
        <f>SUM(E100:E102)</f>
        <v>1911.64</v>
      </c>
      <c r="F103" s="223">
        <f>SUM(F100:F102)</f>
        <v>1687.65</v>
      </c>
    </row>
    <row r="104" spans="1:6" s="30" customFormat="1" ht="15.75" customHeight="1" x14ac:dyDescent="0.25">
      <c r="A104" s="361" t="s">
        <v>43</v>
      </c>
      <c r="B104" s="362"/>
      <c r="C104" s="362"/>
      <c r="D104" s="58">
        <f>+D94+D95+D103</f>
        <v>3455.38</v>
      </c>
      <c r="E104" s="58">
        <f>+E94+E95+E103</f>
        <v>3455.38</v>
      </c>
      <c r="F104" s="59">
        <f>+F94+F95+F103</f>
        <v>3050.51</v>
      </c>
    </row>
    <row r="105" spans="1:6" s="30" customFormat="1" ht="15.75" customHeight="1" x14ac:dyDescent="0.25">
      <c r="A105" s="401" t="s">
        <v>44</v>
      </c>
      <c r="B105" s="402"/>
      <c r="C105" s="402"/>
      <c r="D105" s="238" t="s">
        <v>10</v>
      </c>
      <c r="E105" s="238" t="s">
        <v>10</v>
      </c>
      <c r="F105" s="239" t="s">
        <v>10</v>
      </c>
    </row>
    <row r="106" spans="1:6" s="30" customFormat="1" x14ac:dyDescent="0.25">
      <c r="A106" s="170" t="s">
        <v>0</v>
      </c>
      <c r="B106" s="369" t="s">
        <v>45</v>
      </c>
      <c r="C106" s="369"/>
      <c r="D106" s="210">
        <f>+D25</f>
        <v>3932.2</v>
      </c>
      <c r="E106" s="210">
        <f>+E25</f>
        <v>3932.2</v>
      </c>
      <c r="F106" s="211">
        <f>+F25</f>
        <v>3932.2</v>
      </c>
    </row>
    <row r="107" spans="1:6" s="30" customFormat="1" x14ac:dyDescent="0.25">
      <c r="A107" s="170" t="s">
        <v>2</v>
      </c>
      <c r="B107" s="369" t="s">
        <v>152</v>
      </c>
      <c r="C107" s="369"/>
      <c r="D107" s="210">
        <f>+D54</f>
        <v>3169.78</v>
      </c>
      <c r="E107" s="210">
        <f>+E54</f>
        <v>3169.78</v>
      </c>
      <c r="F107" s="211">
        <f>+F54</f>
        <v>3169.78</v>
      </c>
    </row>
    <row r="108" spans="1:6" s="30" customFormat="1" x14ac:dyDescent="0.25">
      <c r="A108" s="170" t="s">
        <v>3</v>
      </c>
      <c r="B108" s="369" t="s">
        <v>150</v>
      </c>
      <c r="C108" s="369"/>
      <c r="D108" s="210">
        <f>D62</f>
        <v>283.51</v>
      </c>
      <c r="E108" s="210">
        <f>E62</f>
        <v>283.51</v>
      </c>
      <c r="F108" s="211">
        <f>F62</f>
        <v>283.51</v>
      </c>
    </row>
    <row r="109" spans="1:6" s="30" customFormat="1" x14ac:dyDescent="0.25">
      <c r="A109" s="170" t="s">
        <v>5</v>
      </c>
      <c r="B109" s="369" t="s">
        <v>143</v>
      </c>
      <c r="C109" s="369"/>
      <c r="D109" s="210">
        <f>D83</f>
        <v>206.26</v>
      </c>
      <c r="E109" s="210">
        <f>E83</f>
        <v>206.26</v>
      </c>
      <c r="F109" s="211">
        <f>F83</f>
        <v>206.26</v>
      </c>
    </row>
    <row r="110" spans="1:6" s="30" customFormat="1" x14ac:dyDescent="0.25">
      <c r="A110" s="170" t="s">
        <v>20</v>
      </c>
      <c r="B110" s="369" t="s">
        <v>151</v>
      </c>
      <c r="C110" s="369"/>
      <c r="D110" s="210">
        <f>D90</f>
        <v>2367.83</v>
      </c>
      <c r="E110" s="210">
        <f>E90</f>
        <v>2367.83</v>
      </c>
      <c r="F110" s="211">
        <f>F90</f>
        <v>1200.8800000000001</v>
      </c>
    </row>
    <row r="111" spans="1:6" s="30" customFormat="1" ht="15.75" customHeight="1" x14ac:dyDescent="0.25">
      <c r="A111" s="370" t="s">
        <v>289</v>
      </c>
      <c r="B111" s="364"/>
      <c r="C111" s="364"/>
      <c r="D111" s="222">
        <f>SUM(D106:D110)</f>
        <v>9959.58</v>
      </c>
      <c r="E111" s="222">
        <f>SUM(E106:E110)</f>
        <v>9959.58</v>
      </c>
      <c r="F111" s="223">
        <f>SUM(F106:F110)</f>
        <v>8792.6299999999992</v>
      </c>
    </row>
    <row r="112" spans="1:6" s="30" customFormat="1" x14ac:dyDescent="0.25">
      <c r="A112" s="170" t="s">
        <v>21</v>
      </c>
      <c r="B112" s="369" t="s">
        <v>154</v>
      </c>
      <c r="C112" s="369"/>
      <c r="D112" s="210">
        <f>+D104</f>
        <v>3455.38</v>
      </c>
      <c r="E112" s="210">
        <f>+E104</f>
        <v>3455.38</v>
      </c>
      <c r="F112" s="211">
        <f>+F104</f>
        <v>3050.51</v>
      </c>
    </row>
    <row r="113" spans="1:6" s="30" customFormat="1" ht="16.5" customHeight="1" thickBot="1" x14ac:dyDescent="0.3">
      <c r="A113" s="353" t="s">
        <v>46</v>
      </c>
      <c r="B113" s="354"/>
      <c r="C113" s="354"/>
      <c r="D113" s="240">
        <f>+D111+D112</f>
        <v>13414.96</v>
      </c>
      <c r="E113" s="240">
        <f>+E111+E112</f>
        <v>13414.96</v>
      </c>
      <c r="F113" s="241">
        <f>+F111+F112</f>
        <v>11843.14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126</v>
      </c>
    </row>
    <row r="117" spans="1:6" x14ac:dyDescent="0.25">
      <c r="B117" s="28"/>
      <c r="C117" s="366"/>
      <c r="D117" s="366"/>
      <c r="E117" s="366"/>
      <c r="F117" s="366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3">
    <mergeCell ref="A84:C84"/>
    <mergeCell ref="A105:C105"/>
    <mergeCell ref="B85:C85"/>
    <mergeCell ref="B86:C86"/>
    <mergeCell ref="B87:C87"/>
    <mergeCell ref="B88:C88"/>
    <mergeCell ref="B89:C89"/>
    <mergeCell ref="A90:C90"/>
    <mergeCell ref="A91:C91"/>
    <mergeCell ref="B93:C93"/>
    <mergeCell ref="A104:C104"/>
    <mergeCell ref="A92:C92"/>
    <mergeCell ref="B112:C112"/>
    <mergeCell ref="A113:C113"/>
    <mergeCell ref="C117:F117"/>
    <mergeCell ref="B106:C106"/>
    <mergeCell ref="B107:C107"/>
    <mergeCell ref="B108:C108"/>
    <mergeCell ref="B109:C109"/>
    <mergeCell ref="B110:C110"/>
    <mergeCell ref="A111:C111"/>
    <mergeCell ref="A76:B76"/>
    <mergeCell ref="B79:C79"/>
    <mergeCell ref="A82:B82"/>
    <mergeCell ref="A83:C83"/>
    <mergeCell ref="A63:C63"/>
    <mergeCell ref="A77:C77"/>
    <mergeCell ref="A78:C78"/>
    <mergeCell ref="A26:C26"/>
    <mergeCell ref="B64:C64"/>
    <mergeCell ref="A72:B72"/>
    <mergeCell ref="B74:C74"/>
    <mergeCell ref="B56:C56"/>
    <mergeCell ref="B27:C27"/>
    <mergeCell ref="A30:B30"/>
    <mergeCell ref="B32:C32"/>
    <mergeCell ref="A41:B41"/>
    <mergeCell ref="B43:C43"/>
    <mergeCell ref="A54:C54"/>
    <mergeCell ref="A42:C42"/>
    <mergeCell ref="A50:C50"/>
    <mergeCell ref="A55:C55"/>
    <mergeCell ref="A31:F31"/>
    <mergeCell ref="A62:B62"/>
    <mergeCell ref="A25:C25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B17:C17"/>
    <mergeCell ref="D11:F11"/>
    <mergeCell ref="C6:F6"/>
    <mergeCell ref="A1:F1"/>
    <mergeCell ref="A2:F2"/>
    <mergeCell ref="A3:F3"/>
    <mergeCell ref="C4:F4"/>
    <mergeCell ref="C5:F5"/>
  </mergeCells>
  <hyperlinks>
    <hyperlink ref="B38" r:id="rId1" display="08 - Sebrae 0,3% ou 0,6% - IN nº 03, MPS/SRP/2005, Anexo II e III ver código da Tabela" xr:uid="{00000000-0004-0000-05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25"/>
  <sheetViews>
    <sheetView view="pageBreakPreview" topLeftCell="A74" zoomScaleNormal="115" zoomScaleSheetLayoutView="100" workbookViewId="0">
      <selection activeCell="D48" sqref="D48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377"/>
      <c r="B1" s="378"/>
      <c r="C1" s="378"/>
      <c r="D1" s="379"/>
    </row>
    <row r="2" spans="1:4" s="38" customFormat="1" ht="16.5" customHeight="1" x14ac:dyDescent="0.25">
      <c r="A2" s="350" t="s">
        <v>127</v>
      </c>
      <c r="B2" s="351"/>
      <c r="C2" s="351"/>
      <c r="D2" s="352"/>
    </row>
    <row r="3" spans="1:4" s="38" customFormat="1" x14ac:dyDescent="0.25">
      <c r="A3" s="347" t="s">
        <v>126</v>
      </c>
      <c r="B3" s="348"/>
      <c r="C3" s="348"/>
      <c r="D3" s="349"/>
    </row>
    <row r="4" spans="1:4" s="38" customFormat="1" ht="15" customHeight="1" x14ac:dyDescent="0.25">
      <c r="A4" s="76" t="s">
        <v>0</v>
      </c>
      <c r="B4" s="267" t="s">
        <v>1</v>
      </c>
      <c r="C4" s="385">
        <v>2025</v>
      </c>
      <c r="D4" s="386"/>
    </row>
    <row r="5" spans="1:4" s="38" customFormat="1" ht="129.94999999999999" customHeight="1" x14ac:dyDescent="0.25">
      <c r="A5" s="76" t="s">
        <v>2</v>
      </c>
      <c r="B5" s="267" t="s">
        <v>135</v>
      </c>
      <c r="C5" s="387" t="s">
        <v>248</v>
      </c>
      <c r="D5" s="388"/>
    </row>
    <row r="6" spans="1:4" s="38" customFormat="1" ht="30" customHeight="1" x14ac:dyDescent="0.25">
      <c r="A6" s="76" t="s">
        <v>3</v>
      </c>
      <c r="B6" s="267" t="s">
        <v>4</v>
      </c>
      <c r="C6" s="387" t="s">
        <v>288</v>
      </c>
      <c r="D6" s="388"/>
    </row>
    <row r="7" spans="1:4" s="38" customFormat="1" x14ac:dyDescent="0.25">
      <c r="A7" s="76" t="s">
        <v>5</v>
      </c>
      <c r="B7" s="267" t="s">
        <v>295</v>
      </c>
      <c r="C7" s="387">
        <v>12</v>
      </c>
      <c r="D7" s="388"/>
    </row>
    <row r="8" spans="1:4" s="38" customFormat="1" x14ac:dyDescent="0.25">
      <c r="A8" s="347" t="s">
        <v>6</v>
      </c>
      <c r="B8" s="348"/>
      <c r="C8" s="348"/>
      <c r="D8" s="349"/>
    </row>
    <row r="9" spans="1:4" s="38" customFormat="1" x14ac:dyDescent="0.25">
      <c r="A9" s="347" t="s">
        <v>7</v>
      </c>
      <c r="B9" s="348"/>
      <c r="C9" s="348"/>
      <c r="D9" s="349"/>
    </row>
    <row r="10" spans="1:4" s="38" customFormat="1" ht="15.75" customHeight="1" x14ac:dyDescent="0.25">
      <c r="A10" s="347" t="s">
        <v>8</v>
      </c>
      <c r="B10" s="348"/>
      <c r="C10" s="348"/>
      <c r="D10" s="349"/>
    </row>
    <row r="11" spans="1:4" s="38" customFormat="1" ht="30" customHeight="1" x14ac:dyDescent="0.25">
      <c r="A11" s="389" t="s">
        <v>9</v>
      </c>
      <c r="B11" s="390"/>
      <c r="C11" s="390"/>
      <c r="D11" s="276"/>
    </row>
    <row r="12" spans="1:4" s="38" customFormat="1" ht="114.95" customHeight="1" x14ac:dyDescent="0.25">
      <c r="A12" s="76">
        <v>1</v>
      </c>
      <c r="B12" s="266" t="s">
        <v>128</v>
      </c>
      <c r="C12" s="380" t="s">
        <v>249</v>
      </c>
      <c r="D12" s="381"/>
    </row>
    <row r="13" spans="1:4" s="38" customFormat="1" ht="30" customHeight="1" x14ac:dyDescent="0.25">
      <c r="A13" s="76">
        <v>2</v>
      </c>
      <c r="B13" s="266" t="s">
        <v>11</v>
      </c>
      <c r="C13" s="392">
        <v>3325</v>
      </c>
      <c r="D13" s="393"/>
    </row>
    <row r="14" spans="1:4" s="38" customFormat="1" ht="30" customHeight="1" x14ac:dyDescent="0.25">
      <c r="A14" s="76">
        <v>3</v>
      </c>
      <c r="B14" s="266" t="s">
        <v>12</v>
      </c>
      <c r="C14" s="380" t="s">
        <v>219</v>
      </c>
      <c r="D14" s="381"/>
    </row>
    <row r="15" spans="1:4" s="38" customFormat="1" x14ac:dyDescent="0.25">
      <c r="A15" s="76">
        <v>4</v>
      </c>
      <c r="B15" s="69" t="s">
        <v>13</v>
      </c>
      <c r="C15" s="383">
        <v>2025</v>
      </c>
      <c r="D15" s="384"/>
    </row>
    <row r="16" spans="1:4" s="39" customFormat="1" x14ac:dyDescent="0.25">
      <c r="A16" s="345" t="s">
        <v>14</v>
      </c>
      <c r="B16" s="346"/>
      <c r="C16" s="346"/>
      <c r="D16" s="150" t="s">
        <v>246</v>
      </c>
    </row>
    <row r="17" spans="1:4" s="39" customFormat="1" x14ac:dyDescent="0.25">
      <c r="A17" s="268">
        <v>1</v>
      </c>
      <c r="B17" s="363" t="s">
        <v>15</v>
      </c>
      <c r="C17" s="363"/>
      <c r="D17" s="152" t="s">
        <v>10</v>
      </c>
    </row>
    <row r="18" spans="1:4" s="38" customFormat="1" ht="15.75" customHeight="1" x14ac:dyDescent="0.25">
      <c r="A18" s="153" t="s">
        <v>0</v>
      </c>
      <c r="B18" s="154" t="s">
        <v>16</v>
      </c>
      <c r="C18" s="69"/>
      <c r="D18" s="155">
        <f>C13</f>
        <v>3325</v>
      </c>
    </row>
    <row r="19" spans="1:4" s="38" customFormat="1" ht="15.75" customHeight="1" x14ac:dyDescent="0.25">
      <c r="A19" s="153" t="s">
        <v>2</v>
      </c>
      <c r="B19" s="154" t="s">
        <v>17</v>
      </c>
      <c r="C19" s="156"/>
      <c r="D19" s="193"/>
    </row>
    <row r="20" spans="1:4" s="38" customFormat="1" ht="15.75" customHeight="1" x14ac:dyDescent="0.25">
      <c r="A20" s="153" t="s">
        <v>3</v>
      </c>
      <c r="B20" s="154" t="s">
        <v>18</v>
      </c>
      <c r="C20" s="159">
        <v>1518</v>
      </c>
      <c r="D20" s="193">
        <f>40%*C20</f>
        <v>607.20000000000005</v>
      </c>
    </row>
    <row r="21" spans="1:4" s="38" customFormat="1" ht="15.75" customHeight="1" x14ac:dyDescent="0.25">
      <c r="A21" s="153" t="s">
        <v>5</v>
      </c>
      <c r="B21" s="154" t="s">
        <v>19</v>
      </c>
      <c r="C21" s="156"/>
      <c r="D21" s="193">
        <f>((((D18+D20)/220)*20%)*8)*15.21</f>
        <v>434.97</v>
      </c>
    </row>
    <row r="22" spans="1:4" s="38" customFormat="1" ht="15.75" customHeight="1" x14ac:dyDescent="0.25">
      <c r="A22" s="153" t="s">
        <v>20</v>
      </c>
      <c r="B22" s="154" t="s">
        <v>196</v>
      </c>
      <c r="C22" s="156"/>
      <c r="D22" s="193"/>
    </row>
    <row r="23" spans="1:4" s="38" customFormat="1" x14ac:dyDescent="0.25">
      <c r="A23" s="153" t="s">
        <v>21</v>
      </c>
      <c r="B23" s="154" t="s">
        <v>133</v>
      </c>
      <c r="C23" s="162"/>
      <c r="D23" s="193"/>
    </row>
    <row r="24" spans="1:4" s="38" customFormat="1" ht="15.75" customHeight="1" x14ac:dyDescent="0.25">
      <c r="A24" s="153" t="s">
        <v>22</v>
      </c>
      <c r="B24" s="274" t="s">
        <v>134</v>
      </c>
      <c r="C24" s="162"/>
      <c r="D24" s="193"/>
    </row>
    <row r="25" spans="1:4" s="39" customFormat="1" ht="15.75" customHeight="1" x14ac:dyDescent="0.25">
      <c r="A25" s="341" t="s">
        <v>145</v>
      </c>
      <c r="B25" s="342"/>
      <c r="C25" s="342"/>
      <c r="D25" s="213">
        <f>SUM(D18:D24)</f>
        <v>4367.17</v>
      </c>
    </row>
    <row r="26" spans="1:4" s="39" customFormat="1" x14ac:dyDescent="0.25">
      <c r="A26" s="345" t="s">
        <v>48</v>
      </c>
      <c r="B26" s="346"/>
      <c r="C26" s="346"/>
      <c r="D26" s="404"/>
    </row>
    <row r="27" spans="1:4" s="38" customFormat="1" x14ac:dyDescent="0.25">
      <c r="A27" s="273" t="s">
        <v>136</v>
      </c>
      <c r="B27" s="337" t="s">
        <v>197</v>
      </c>
      <c r="C27" s="355"/>
      <c r="D27" s="169" t="s">
        <v>10</v>
      </c>
    </row>
    <row r="28" spans="1:4" s="38" customFormat="1" x14ac:dyDescent="0.25">
      <c r="A28" s="170" t="s">
        <v>0</v>
      </c>
      <c r="B28" s="272" t="s">
        <v>28</v>
      </c>
      <c r="C28" s="172">
        <f>1/12</f>
        <v>8.3299999999999999E-2</v>
      </c>
      <c r="D28" s="211">
        <f>(D25)*C28</f>
        <v>363.79</v>
      </c>
    </row>
    <row r="29" spans="1:4" s="38" customFormat="1" x14ac:dyDescent="0.25">
      <c r="A29" s="170" t="s">
        <v>2</v>
      </c>
      <c r="B29" s="272" t="s">
        <v>141</v>
      </c>
      <c r="C29" s="172">
        <v>0.1111</v>
      </c>
      <c r="D29" s="211">
        <f>(D25)*C29</f>
        <v>485.19</v>
      </c>
    </row>
    <row r="30" spans="1:4" x14ac:dyDescent="0.25">
      <c r="A30" s="361" t="s">
        <v>27</v>
      </c>
      <c r="B30" s="362"/>
      <c r="C30" s="175">
        <f>SUM(C28:C29)</f>
        <v>0.19439999999999999</v>
      </c>
      <c r="D30" s="59">
        <f>SUM(D28:D29)</f>
        <v>848.98</v>
      </c>
    </row>
    <row r="31" spans="1:4" ht="32.25" customHeight="1" x14ac:dyDescent="0.25">
      <c r="A31" s="358" t="s">
        <v>182</v>
      </c>
      <c r="B31" s="359"/>
      <c r="C31" s="359"/>
      <c r="D31" s="360"/>
    </row>
    <row r="32" spans="1:4" x14ac:dyDescent="0.25">
      <c r="A32" s="270" t="s">
        <v>136</v>
      </c>
      <c r="B32" s="340" t="s">
        <v>25</v>
      </c>
      <c r="C32" s="396"/>
      <c r="D32" s="215" t="s">
        <v>10</v>
      </c>
    </row>
    <row r="33" spans="1:4" x14ac:dyDescent="0.25">
      <c r="A33" s="170" t="s">
        <v>0</v>
      </c>
      <c r="B33" s="179" t="s">
        <v>296</v>
      </c>
      <c r="C33" s="172">
        <v>0.2</v>
      </c>
      <c r="D33" s="211">
        <f t="shared" ref="D33:D40" si="0">($D$25+D$30)*C33</f>
        <v>1043.23</v>
      </c>
    </row>
    <row r="34" spans="1:4" x14ac:dyDescent="0.25">
      <c r="A34" s="170" t="s">
        <v>2</v>
      </c>
      <c r="B34" s="179" t="s">
        <v>297</v>
      </c>
      <c r="C34" s="180">
        <v>2.5000000000000001E-2</v>
      </c>
      <c r="D34" s="211">
        <f t="shared" si="0"/>
        <v>130.4</v>
      </c>
    </row>
    <row r="35" spans="1:4" ht="45" x14ac:dyDescent="0.25">
      <c r="A35" s="170" t="s">
        <v>3</v>
      </c>
      <c r="B35" s="271" t="s">
        <v>298</v>
      </c>
      <c r="C35" s="180">
        <v>0.03</v>
      </c>
      <c r="D35" s="211">
        <f t="shared" si="0"/>
        <v>156.47999999999999</v>
      </c>
    </row>
    <row r="36" spans="1:4" x14ac:dyDescent="0.25">
      <c r="A36" s="170" t="s">
        <v>5</v>
      </c>
      <c r="B36" s="179" t="s">
        <v>299</v>
      </c>
      <c r="C36" s="180">
        <v>1.4999999999999999E-2</v>
      </c>
      <c r="D36" s="211">
        <f t="shared" si="0"/>
        <v>78.239999999999995</v>
      </c>
    </row>
    <row r="37" spans="1:4" x14ac:dyDescent="0.25">
      <c r="A37" s="170" t="s">
        <v>20</v>
      </c>
      <c r="B37" s="179" t="s">
        <v>300</v>
      </c>
      <c r="C37" s="180">
        <v>0.01</v>
      </c>
      <c r="D37" s="211">
        <f t="shared" si="0"/>
        <v>52.16</v>
      </c>
    </row>
    <row r="38" spans="1:4" x14ac:dyDescent="0.25">
      <c r="A38" s="170" t="s">
        <v>21</v>
      </c>
      <c r="B38" s="181" t="s">
        <v>200</v>
      </c>
      <c r="C38" s="180">
        <v>6.0000000000000001E-3</v>
      </c>
      <c r="D38" s="211">
        <f t="shared" si="0"/>
        <v>31.3</v>
      </c>
    </row>
    <row r="39" spans="1:4" ht="30" x14ac:dyDescent="0.25">
      <c r="A39" s="170" t="s">
        <v>22</v>
      </c>
      <c r="B39" s="271" t="s">
        <v>301</v>
      </c>
      <c r="C39" s="180">
        <v>2E-3</v>
      </c>
      <c r="D39" s="211">
        <f t="shared" si="0"/>
        <v>10.43</v>
      </c>
    </row>
    <row r="40" spans="1:4" x14ac:dyDescent="0.25">
      <c r="A40" s="170" t="s">
        <v>26</v>
      </c>
      <c r="B40" s="182" t="s">
        <v>199</v>
      </c>
      <c r="C40" s="180">
        <v>0.08</v>
      </c>
      <c r="D40" s="211">
        <f t="shared" si="0"/>
        <v>417.29</v>
      </c>
    </row>
    <row r="41" spans="1:4" s="30" customFormat="1" x14ac:dyDescent="0.25">
      <c r="A41" s="361" t="s">
        <v>27</v>
      </c>
      <c r="B41" s="362"/>
      <c r="C41" s="183">
        <f>SUM(C33:C40)</f>
        <v>0.36799999999999999</v>
      </c>
      <c r="D41" s="59">
        <f>SUM(D33:D40)</f>
        <v>1919.53</v>
      </c>
    </row>
    <row r="42" spans="1:4" s="30" customFormat="1" x14ac:dyDescent="0.25">
      <c r="A42" s="343" t="s">
        <v>166</v>
      </c>
      <c r="B42" s="344"/>
      <c r="C42" s="344"/>
      <c r="D42" s="405"/>
    </row>
    <row r="43" spans="1:4" s="30" customFormat="1" x14ac:dyDescent="0.25">
      <c r="A43" s="186" t="s">
        <v>202</v>
      </c>
      <c r="B43" s="275" t="s">
        <v>203</v>
      </c>
      <c r="C43" s="187"/>
      <c r="D43" s="230"/>
    </row>
    <row r="44" spans="1:4" s="30" customFormat="1" x14ac:dyDescent="0.25">
      <c r="A44" s="189" t="s">
        <v>0</v>
      </c>
      <c r="B44" s="190" t="s">
        <v>137</v>
      </c>
      <c r="C44" s="191"/>
      <c r="D44" s="232">
        <v>0</v>
      </c>
    </row>
    <row r="45" spans="1:4" s="30" customFormat="1" x14ac:dyDescent="0.25">
      <c r="A45" s="194" t="s">
        <v>2</v>
      </c>
      <c r="B45" s="274" t="s">
        <v>183</v>
      </c>
      <c r="C45" s="160">
        <v>626.94000000000005</v>
      </c>
      <c r="D45" s="155">
        <f>C45-(C45*0.99%)</f>
        <v>620.73</v>
      </c>
    </row>
    <row r="46" spans="1:4" s="30" customFormat="1" x14ac:dyDescent="0.25">
      <c r="A46" s="170" t="s">
        <v>3</v>
      </c>
      <c r="B46" s="272" t="s">
        <v>129</v>
      </c>
      <c r="C46" s="173"/>
      <c r="D46" s="197">
        <v>0</v>
      </c>
    </row>
    <row r="47" spans="1:4" s="30" customFormat="1" x14ac:dyDescent="0.25">
      <c r="A47" s="170" t="s">
        <v>5</v>
      </c>
      <c r="B47" s="272" t="s">
        <v>130</v>
      </c>
      <c r="C47" s="172">
        <v>0.5</v>
      </c>
      <c r="D47" s="197">
        <f>(D18*C47*0.0199*2)/12</f>
        <v>5.51</v>
      </c>
    </row>
    <row r="48" spans="1:4" s="30" customFormat="1" x14ac:dyDescent="0.25">
      <c r="A48" s="170" t="s">
        <v>20</v>
      </c>
      <c r="B48" s="272" t="s">
        <v>131</v>
      </c>
      <c r="C48" s="173"/>
      <c r="D48" s="300">
        <v>50.76</v>
      </c>
    </row>
    <row r="49" spans="1:4" s="30" customFormat="1" ht="15.75" customHeight="1" x14ac:dyDescent="0.25">
      <c r="A49" s="361" t="s">
        <v>23</v>
      </c>
      <c r="B49" s="362"/>
      <c r="C49" s="362"/>
      <c r="D49" s="59">
        <f>SUM(D44:D48)</f>
        <v>677</v>
      </c>
    </row>
    <row r="50" spans="1:4" s="30" customFormat="1" ht="15.75" customHeight="1" x14ac:dyDescent="0.25">
      <c r="A50" s="343" t="s">
        <v>210</v>
      </c>
      <c r="B50" s="344"/>
      <c r="C50" s="344"/>
      <c r="D50" s="405"/>
    </row>
    <row r="51" spans="1:4" s="30" customFormat="1" ht="15.75" customHeight="1" x14ac:dyDescent="0.25">
      <c r="A51" s="268" t="s">
        <v>136</v>
      </c>
      <c r="B51" s="200" t="s">
        <v>138</v>
      </c>
      <c r="C51" s="269"/>
      <c r="D51" s="204">
        <f>D30</f>
        <v>848.98</v>
      </c>
    </row>
    <row r="52" spans="1:4" s="30" customFormat="1" ht="15.75" customHeight="1" x14ac:dyDescent="0.25">
      <c r="A52" s="268" t="s">
        <v>201</v>
      </c>
      <c r="B52" s="200" t="s">
        <v>139</v>
      </c>
      <c r="C52" s="269"/>
      <c r="D52" s="204">
        <f>D41</f>
        <v>1919.53</v>
      </c>
    </row>
    <row r="53" spans="1:4" s="30" customFormat="1" ht="15.75" customHeight="1" x14ac:dyDescent="0.25">
      <c r="A53" s="268" t="s">
        <v>202</v>
      </c>
      <c r="B53" s="200" t="s">
        <v>140</v>
      </c>
      <c r="C53" s="269"/>
      <c r="D53" s="204">
        <f>D49</f>
        <v>677</v>
      </c>
    </row>
    <row r="54" spans="1:4" s="30" customFormat="1" ht="15.75" customHeight="1" x14ac:dyDescent="0.25">
      <c r="A54" s="341" t="s">
        <v>146</v>
      </c>
      <c r="B54" s="342"/>
      <c r="C54" s="342"/>
      <c r="D54" s="213">
        <f>SUM(D51:D53)</f>
        <v>3445.51</v>
      </c>
    </row>
    <row r="55" spans="1:4" s="30" customFormat="1" ht="15.75" customHeight="1" x14ac:dyDescent="0.25">
      <c r="A55" s="345" t="s">
        <v>155</v>
      </c>
      <c r="B55" s="346"/>
      <c r="C55" s="346"/>
      <c r="D55" s="404"/>
    </row>
    <row r="56" spans="1:4" s="30" customFormat="1" ht="15.75" customHeight="1" x14ac:dyDescent="0.25">
      <c r="A56" s="273" t="s">
        <v>192</v>
      </c>
      <c r="B56" s="337" t="s">
        <v>32</v>
      </c>
      <c r="C56" s="338"/>
      <c r="D56" s="169" t="s">
        <v>10</v>
      </c>
    </row>
    <row r="57" spans="1:4" s="30" customFormat="1" ht="15.75" customHeight="1" x14ac:dyDescent="0.25">
      <c r="A57" s="170" t="s">
        <v>0</v>
      </c>
      <c r="B57" s="272" t="s">
        <v>33</v>
      </c>
      <c r="C57" s="172">
        <v>4.5999999999999999E-3</v>
      </c>
      <c r="D57" s="211">
        <f>D$25*C57</f>
        <v>20.09</v>
      </c>
    </row>
    <row r="58" spans="1:4" s="30" customFormat="1" ht="15.75" customHeight="1" x14ac:dyDescent="0.25">
      <c r="A58" s="170" t="s">
        <v>2</v>
      </c>
      <c r="B58" s="272" t="s">
        <v>34</v>
      </c>
      <c r="C58" s="172">
        <v>4.0000000000000002E-4</v>
      </c>
      <c r="D58" s="211">
        <f>D$25*C58</f>
        <v>1.75</v>
      </c>
    </row>
    <row r="59" spans="1:4" s="30" customFormat="1" ht="15.75" customHeight="1" x14ac:dyDescent="0.25">
      <c r="A59" s="170" t="s">
        <v>3</v>
      </c>
      <c r="B59" s="179" t="s">
        <v>35</v>
      </c>
      <c r="C59" s="172">
        <v>1.9400000000000001E-2</v>
      </c>
      <c r="D59" s="211">
        <f>D$25*C59</f>
        <v>84.72</v>
      </c>
    </row>
    <row r="60" spans="1:4" s="30" customFormat="1" ht="30.75" customHeight="1" x14ac:dyDescent="0.25">
      <c r="A60" s="170" t="s">
        <v>5</v>
      </c>
      <c r="B60" s="272" t="s">
        <v>304</v>
      </c>
      <c r="C60" s="172">
        <v>7.7000000000000002E-3</v>
      </c>
      <c r="D60" s="211">
        <f>D$25*C60</f>
        <v>33.630000000000003</v>
      </c>
    </row>
    <row r="61" spans="1:4" s="30" customFormat="1" ht="15.75" customHeight="1" x14ac:dyDescent="0.25">
      <c r="A61" s="170" t="s">
        <v>20</v>
      </c>
      <c r="B61" s="272" t="s">
        <v>142</v>
      </c>
      <c r="C61" s="172">
        <v>0.04</v>
      </c>
      <c r="D61" s="211">
        <f>D$25*C61</f>
        <v>174.69</v>
      </c>
    </row>
    <row r="62" spans="1:4" s="30" customFormat="1" ht="15.75" customHeight="1" x14ac:dyDescent="0.25">
      <c r="A62" s="341" t="s">
        <v>147</v>
      </c>
      <c r="B62" s="342"/>
      <c r="C62" s="280">
        <f>SUM(C57:C61)</f>
        <v>7.2099999999999997E-2</v>
      </c>
      <c r="D62" s="213">
        <f>SUM(D57:D61)</f>
        <v>314.88</v>
      </c>
    </row>
    <row r="63" spans="1:4" s="30" customFormat="1" x14ac:dyDescent="0.25">
      <c r="A63" s="345" t="s">
        <v>156</v>
      </c>
      <c r="B63" s="346"/>
      <c r="C63" s="346"/>
      <c r="D63" s="404"/>
    </row>
    <row r="64" spans="1:4" s="30" customFormat="1" x14ac:dyDescent="0.25">
      <c r="A64" s="273" t="s">
        <v>191</v>
      </c>
      <c r="B64" s="374" t="s">
        <v>190</v>
      </c>
      <c r="C64" s="374"/>
      <c r="D64" s="169" t="s">
        <v>10</v>
      </c>
    </row>
    <row r="65" spans="1:4" s="30" customFormat="1" x14ac:dyDescent="0.25">
      <c r="A65" s="170" t="s">
        <v>0</v>
      </c>
      <c r="B65" s="278" t="s">
        <v>184</v>
      </c>
      <c r="C65" s="172">
        <f>C29/12</f>
        <v>9.2999999999999992E-3</v>
      </c>
      <c r="D65" s="211">
        <f t="shared" ref="D65:D70" si="1">(D$25+D$54+D$62+D$86)*C65</f>
        <v>75.900000000000006</v>
      </c>
    </row>
    <row r="66" spans="1:4" s="30" customFormat="1" x14ac:dyDescent="0.25">
      <c r="A66" s="170" t="s">
        <v>2</v>
      </c>
      <c r="B66" s="278" t="s">
        <v>185</v>
      </c>
      <c r="C66" s="172">
        <v>1.3899999999999999E-2</v>
      </c>
      <c r="D66" s="211">
        <f t="shared" si="1"/>
        <v>113.44</v>
      </c>
    </row>
    <row r="67" spans="1:4" s="30" customFormat="1" x14ac:dyDescent="0.25">
      <c r="A67" s="170" t="s">
        <v>3</v>
      </c>
      <c r="B67" s="278" t="s">
        <v>188</v>
      </c>
      <c r="C67" s="172">
        <v>1.2999999999999999E-3</v>
      </c>
      <c r="D67" s="211">
        <f t="shared" si="1"/>
        <v>10.61</v>
      </c>
    </row>
    <row r="68" spans="1:4" s="30" customFormat="1" x14ac:dyDescent="0.25">
      <c r="A68" s="170" t="s">
        <v>5</v>
      </c>
      <c r="B68" s="278" t="s">
        <v>186</v>
      </c>
      <c r="C68" s="172">
        <v>2.0000000000000001E-4</v>
      </c>
      <c r="D68" s="211">
        <f t="shared" si="1"/>
        <v>1.63</v>
      </c>
    </row>
    <row r="69" spans="1:4" s="30" customFormat="1" x14ac:dyDescent="0.25">
      <c r="A69" s="170" t="s">
        <v>20</v>
      </c>
      <c r="B69" s="278" t="s">
        <v>291</v>
      </c>
      <c r="C69" s="172">
        <v>2.8E-3</v>
      </c>
      <c r="D69" s="211">
        <f t="shared" si="1"/>
        <v>22.85</v>
      </c>
    </row>
    <row r="70" spans="1:4" s="30" customFormat="1" x14ac:dyDescent="0.25">
      <c r="A70" s="170" t="s">
        <v>21</v>
      </c>
      <c r="B70" s="278" t="s">
        <v>187</v>
      </c>
      <c r="C70" s="172">
        <v>2.9999999999999997E-4</v>
      </c>
      <c r="D70" s="211">
        <f t="shared" si="1"/>
        <v>2.4500000000000002</v>
      </c>
    </row>
    <row r="71" spans="1:4" s="30" customFormat="1" ht="15.75" customHeight="1" x14ac:dyDescent="0.25">
      <c r="A71" s="170" t="s">
        <v>22</v>
      </c>
      <c r="B71" s="272" t="s">
        <v>189</v>
      </c>
      <c r="C71" s="172">
        <v>0</v>
      </c>
      <c r="D71" s="211">
        <f t="shared" ref="D71" si="2">(D$25+D$54+D$62+D$86)*C71</f>
        <v>0</v>
      </c>
    </row>
    <row r="72" spans="1:4" s="30" customFormat="1" x14ac:dyDescent="0.25">
      <c r="A72" s="361" t="s">
        <v>29</v>
      </c>
      <c r="B72" s="362"/>
      <c r="C72" s="183">
        <f>SUM(C65:C71)</f>
        <v>2.7799999999999998E-2</v>
      </c>
      <c r="D72" s="59">
        <f>SUM(D65:D71)</f>
        <v>226.88</v>
      </c>
    </row>
    <row r="73" spans="1:4" s="30" customFormat="1" x14ac:dyDescent="0.25">
      <c r="A73" s="268"/>
      <c r="B73" s="269"/>
      <c r="C73" s="201"/>
      <c r="D73" s="155"/>
    </row>
    <row r="74" spans="1:4" s="30" customFormat="1" x14ac:dyDescent="0.25">
      <c r="A74" s="268"/>
      <c r="B74" s="363" t="s">
        <v>193</v>
      </c>
      <c r="C74" s="373"/>
      <c r="D74" s="169" t="s">
        <v>10</v>
      </c>
    </row>
    <row r="75" spans="1:4" s="30" customFormat="1" x14ac:dyDescent="0.25">
      <c r="A75" s="170" t="s">
        <v>0</v>
      </c>
      <c r="B75" s="272" t="s">
        <v>194</v>
      </c>
      <c r="C75" s="172">
        <v>0</v>
      </c>
      <c r="D75" s="211">
        <f>(D$25+D$54+D$62)*C75</f>
        <v>0</v>
      </c>
    </row>
    <row r="76" spans="1:4" s="30" customFormat="1" ht="15.75" customHeight="1" x14ac:dyDescent="0.25">
      <c r="A76" s="361" t="s">
        <v>27</v>
      </c>
      <c r="B76" s="362"/>
      <c r="C76" s="205">
        <f>C75</f>
        <v>0</v>
      </c>
      <c r="D76" s="59">
        <f>D75</f>
        <v>0</v>
      </c>
    </row>
    <row r="77" spans="1:4" s="30" customFormat="1" ht="15.75" customHeight="1" x14ac:dyDescent="0.25">
      <c r="A77" s="343" t="s">
        <v>30</v>
      </c>
      <c r="B77" s="344"/>
      <c r="C77" s="344"/>
      <c r="D77" s="405"/>
    </row>
    <row r="78" spans="1:4" s="30" customFormat="1" ht="15.75" customHeight="1" x14ac:dyDescent="0.25">
      <c r="A78" s="399" t="s">
        <v>195</v>
      </c>
      <c r="B78" s="400"/>
      <c r="C78" s="400"/>
      <c r="D78" s="406"/>
    </row>
    <row r="79" spans="1:4" s="30" customFormat="1" ht="15.75" customHeight="1" x14ac:dyDescent="0.25">
      <c r="A79" s="273">
        <v>4</v>
      </c>
      <c r="B79" s="337" t="s">
        <v>31</v>
      </c>
      <c r="C79" s="338"/>
      <c r="D79" s="169" t="s">
        <v>10</v>
      </c>
    </row>
    <row r="80" spans="1:4" s="30" customFormat="1" ht="15.75" customHeight="1" x14ac:dyDescent="0.25">
      <c r="A80" s="170" t="s">
        <v>191</v>
      </c>
      <c r="B80" s="272" t="s">
        <v>190</v>
      </c>
      <c r="C80" s="172">
        <f>C72</f>
        <v>2.7799999999999998E-2</v>
      </c>
      <c r="D80" s="211">
        <f>D72</f>
        <v>226.88</v>
      </c>
    </row>
    <row r="81" spans="1:4" s="30" customFormat="1" ht="15.75" customHeight="1" x14ac:dyDescent="0.25">
      <c r="A81" s="170" t="s">
        <v>207</v>
      </c>
      <c r="B81" s="272" t="s">
        <v>193</v>
      </c>
      <c r="C81" s="172">
        <v>0</v>
      </c>
      <c r="D81" s="211">
        <f>(D$25+D$54+D$62)*C81</f>
        <v>0</v>
      </c>
    </row>
    <row r="82" spans="1:4" s="30" customFormat="1" ht="15.75" customHeight="1" x14ac:dyDescent="0.25">
      <c r="A82" s="361" t="s">
        <v>27</v>
      </c>
      <c r="B82" s="362"/>
      <c r="C82" s="175">
        <f>SUM(C80:C81)</f>
        <v>2.7799999999999998E-2</v>
      </c>
      <c r="D82" s="59">
        <f>SUM(D80:D81)</f>
        <v>226.88</v>
      </c>
    </row>
    <row r="83" spans="1:4" s="30" customFormat="1" ht="15.75" customHeight="1" x14ac:dyDescent="0.25">
      <c r="A83" s="341" t="s">
        <v>148</v>
      </c>
      <c r="B83" s="342"/>
      <c r="C83" s="342"/>
      <c r="D83" s="213">
        <f>SUM(D76+D82)</f>
        <v>226.88</v>
      </c>
    </row>
    <row r="84" spans="1:4" s="30" customFormat="1" ht="15.75" customHeight="1" x14ac:dyDescent="0.25">
      <c r="A84" s="345" t="s">
        <v>157</v>
      </c>
      <c r="B84" s="346"/>
      <c r="C84" s="346"/>
      <c r="D84" s="404"/>
    </row>
    <row r="85" spans="1:4" s="30" customFormat="1" ht="15.75" customHeight="1" x14ac:dyDescent="0.25">
      <c r="A85" s="273">
        <v>5</v>
      </c>
      <c r="B85" s="337" t="s">
        <v>24</v>
      </c>
      <c r="C85" s="338"/>
      <c r="D85" s="169" t="s">
        <v>10</v>
      </c>
    </row>
    <row r="86" spans="1:4" s="30" customFormat="1" ht="15.75" customHeight="1" x14ac:dyDescent="0.25">
      <c r="A86" s="194" t="s">
        <v>0</v>
      </c>
      <c r="B86" s="336" t="s">
        <v>208</v>
      </c>
      <c r="C86" s="336"/>
      <c r="D86" s="211">
        <f>Uniformes!H7</f>
        <v>33.93</v>
      </c>
    </row>
    <row r="87" spans="1:4" s="30" customFormat="1" ht="15.75" customHeight="1" x14ac:dyDescent="0.25">
      <c r="A87" s="194" t="s">
        <v>2</v>
      </c>
      <c r="B87" s="336" t="s">
        <v>209</v>
      </c>
      <c r="C87" s="336"/>
      <c r="D87" s="211">
        <f>Materiais!H20</f>
        <v>58.98</v>
      </c>
    </row>
    <row r="88" spans="1:4" s="30" customFormat="1" ht="15.75" customHeight="1" x14ac:dyDescent="0.25">
      <c r="A88" s="194" t="s">
        <v>3</v>
      </c>
      <c r="B88" s="336" t="s">
        <v>179</v>
      </c>
      <c r="C88" s="336"/>
      <c r="D88" s="211">
        <f>Equipamentos!H20</f>
        <v>1107.97</v>
      </c>
    </row>
    <row r="89" spans="1:4" s="30" customFormat="1" ht="15.75" customHeight="1" x14ac:dyDescent="0.25">
      <c r="A89" s="194" t="s">
        <v>5</v>
      </c>
      <c r="B89" s="336" t="s">
        <v>132</v>
      </c>
      <c r="C89" s="336"/>
      <c r="D89" s="211">
        <v>0</v>
      </c>
    </row>
    <row r="90" spans="1:4" s="30" customFormat="1" ht="15.75" customHeight="1" x14ac:dyDescent="0.25">
      <c r="A90" s="341" t="s">
        <v>149</v>
      </c>
      <c r="B90" s="342"/>
      <c r="C90" s="342"/>
      <c r="D90" s="213">
        <f>SUM(D86:D89)</f>
        <v>1200.8800000000001</v>
      </c>
    </row>
    <row r="91" spans="1:4" s="30" customFormat="1" ht="30" customHeight="1" x14ac:dyDescent="0.25">
      <c r="A91" s="339" t="s">
        <v>211</v>
      </c>
      <c r="B91" s="340"/>
      <c r="C91" s="340"/>
      <c r="D91" s="235">
        <f>D90+D83+D62+D54+D25</f>
        <v>9555.32</v>
      </c>
    </row>
    <row r="92" spans="1:4" s="30" customFormat="1" ht="19.5" customHeight="1" x14ac:dyDescent="0.25">
      <c r="A92" s="345" t="s">
        <v>158</v>
      </c>
      <c r="B92" s="346"/>
      <c r="C92" s="346"/>
      <c r="D92" s="404"/>
    </row>
    <row r="93" spans="1:4" s="30" customFormat="1" x14ac:dyDescent="0.25">
      <c r="A93" s="273">
        <v>6</v>
      </c>
      <c r="B93" s="337" t="s">
        <v>38</v>
      </c>
      <c r="C93" s="355"/>
      <c r="D93" s="169" t="s">
        <v>10</v>
      </c>
    </row>
    <row r="94" spans="1:4" s="30" customFormat="1" x14ac:dyDescent="0.25">
      <c r="A94" s="170" t="s">
        <v>0</v>
      </c>
      <c r="B94" s="272" t="s">
        <v>39</v>
      </c>
      <c r="C94" s="216">
        <v>0.05</v>
      </c>
      <c r="D94" s="211">
        <f>+D91*C94</f>
        <v>477.77</v>
      </c>
    </row>
    <row r="95" spans="1:4" s="30" customFormat="1" x14ac:dyDescent="0.25">
      <c r="A95" s="170" t="s">
        <v>2</v>
      </c>
      <c r="B95" s="272" t="s">
        <v>40</v>
      </c>
      <c r="C95" s="216">
        <v>0.1</v>
      </c>
      <c r="D95" s="211">
        <f>C95*(+D91+D94)</f>
        <v>1003.31</v>
      </c>
    </row>
    <row r="96" spans="1:4" s="30" customFormat="1" ht="30" x14ac:dyDescent="0.25">
      <c r="A96" s="170"/>
      <c r="B96" s="272" t="s">
        <v>47</v>
      </c>
      <c r="C96" s="172">
        <f>1-C103</f>
        <v>0.85750000000000004</v>
      </c>
      <c r="D96" s="211">
        <f>+D91+D94+D95</f>
        <v>11036.4</v>
      </c>
    </row>
    <row r="97" spans="1:4" s="30" customFormat="1" x14ac:dyDescent="0.25">
      <c r="A97" s="170"/>
      <c r="B97" s="272"/>
      <c r="C97" s="40"/>
      <c r="D97" s="237">
        <f>+D96/C96</f>
        <v>12870.44</v>
      </c>
    </row>
    <row r="98" spans="1:4" s="30" customFormat="1" x14ac:dyDescent="0.25">
      <c r="A98" s="170" t="s">
        <v>3</v>
      </c>
      <c r="B98" s="272" t="s">
        <v>41</v>
      </c>
      <c r="C98" s="217">
        <f>C100+C101+C102</f>
        <v>0.14249999999999999</v>
      </c>
      <c r="D98" s="237"/>
    </row>
    <row r="99" spans="1:4" s="30" customFormat="1" x14ac:dyDescent="0.25">
      <c r="A99" s="170" t="s">
        <v>284</v>
      </c>
      <c r="B99" s="272" t="s">
        <v>280</v>
      </c>
      <c r="C99" s="254">
        <f>C100+C101</f>
        <v>9.2499999999999999E-2</v>
      </c>
      <c r="D99" s="211"/>
    </row>
    <row r="100" spans="1:4" s="30" customFormat="1" x14ac:dyDescent="0.25">
      <c r="A100" s="170" t="s">
        <v>285</v>
      </c>
      <c r="B100" s="278" t="s">
        <v>281</v>
      </c>
      <c r="C100" s="172">
        <v>1.6500000000000001E-2</v>
      </c>
      <c r="D100" s="211">
        <f>+D97*C100</f>
        <v>212.36</v>
      </c>
    </row>
    <row r="101" spans="1:4" s="30" customFormat="1" x14ac:dyDescent="0.25">
      <c r="A101" s="170" t="s">
        <v>286</v>
      </c>
      <c r="B101" s="278" t="s">
        <v>282</v>
      </c>
      <c r="C101" s="172">
        <v>7.5999999999999998E-2</v>
      </c>
      <c r="D101" s="211">
        <f>+D97*C101</f>
        <v>978.15</v>
      </c>
    </row>
    <row r="102" spans="1:4" s="30" customFormat="1" x14ac:dyDescent="0.25">
      <c r="A102" s="170" t="s">
        <v>287</v>
      </c>
      <c r="B102" s="278" t="s">
        <v>283</v>
      </c>
      <c r="C102" s="172">
        <v>0.05</v>
      </c>
      <c r="D102" s="211">
        <f>+D97*C102</f>
        <v>643.52</v>
      </c>
    </row>
    <row r="103" spans="1:4" s="30" customFormat="1" x14ac:dyDescent="0.25">
      <c r="A103" s="273"/>
      <c r="B103" s="220" t="s">
        <v>42</v>
      </c>
      <c r="C103" s="221">
        <f>C98</f>
        <v>0.14249999999999999</v>
      </c>
      <c r="D103" s="211">
        <f>SUM(D100:D102)</f>
        <v>1834.03</v>
      </c>
    </row>
    <row r="104" spans="1:4" s="30" customFormat="1" ht="15.75" customHeight="1" x14ac:dyDescent="0.25">
      <c r="A104" s="361" t="s">
        <v>43</v>
      </c>
      <c r="B104" s="362"/>
      <c r="C104" s="362"/>
      <c r="D104" s="59">
        <f>+D94+D95+D103</f>
        <v>3315.11</v>
      </c>
    </row>
    <row r="105" spans="1:4" s="30" customFormat="1" ht="15.75" customHeight="1" x14ac:dyDescent="0.25">
      <c r="A105" s="401" t="s">
        <v>44</v>
      </c>
      <c r="B105" s="402"/>
      <c r="C105" s="402"/>
      <c r="D105" s="239" t="s">
        <v>10</v>
      </c>
    </row>
    <row r="106" spans="1:4" s="30" customFormat="1" x14ac:dyDescent="0.25">
      <c r="A106" s="170" t="s">
        <v>0</v>
      </c>
      <c r="B106" s="369" t="s">
        <v>45</v>
      </c>
      <c r="C106" s="369"/>
      <c r="D106" s="211">
        <f>+D25</f>
        <v>4367.17</v>
      </c>
    </row>
    <row r="107" spans="1:4" s="30" customFormat="1" x14ac:dyDescent="0.25">
      <c r="A107" s="170" t="s">
        <v>2</v>
      </c>
      <c r="B107" s="369" t="s">
        <v>152</v>
      </c>
      <c r="C107" s="369"/>
      <c r="D107" s="211">
        <f>+D54</f>
        <v>3445.51</v>
      </c>
    </row>
    <row r="108" spans="1:4" s="30" customFormat="1" x14ac:dyDescent="0.25">
      <c r="A108" s="170" t="s">
        <v>3</v>
      </c>
      <c r="B108" s="369" t="s">
        <v>150</v>
      </c>
      <c r="C108" s="369"/>
      <c r="D108" s="211">
        <f>D62</f>
        <v>314.88</v>
      </c>
    </row>
    <row r="109" spans="1:4" s="30" customFormat="1" x14ac:dyDescent="0.25">
      <c r="A109" s="170" t="s">
        <v>5</v>
      </c>
      <c r="B109" s="369" t="s">
        <v>143</v>
      </c>
      <c r="C109" s="369"/>
      <c r="D109" s="211">
        <f>D83</f>
        <v>226.88</v>
      </c>
    </row>
    <row r="110" spans="1:4" s="30" customFormat="1" x14ac:dyDescent="0.25">
      <c r="A110" s="170" t="s">
        <v>20</v>
      </c>
      <c r="B110" s="369" t="s">
        <v>151</v>
      </c>
      <c r="C110" s="369"/>
      <c r="D110" s="211">
        <f>D90</f>
        <v>1200.8800000000001</v>
      </c>
    </row>
    <row r="111" spans="1:4" s="30" customFormat="1" ht="15.75" customHeight="1" x14ac:dyDescent="0.25">
      <c r="A111" s="370" t="s">
        <v>289</v>
      </c>
      <c r="B111" s="364"/>
      <c r="C111" s="364"/>
      <c r="D111" s="223">
        <f>SUM(D106:D110)</f>
        <v>9555.32</v>
      </c>
    </row>
    <row r="112" spans="1:4" s="30" customFormat="1" x14ac:dyDescent="0.25">
      <c r="A112" s="170" t="s">
        <v>21</v>
      </c>
      <c r="B112" s="369" t="s">
        <v>154</v>
      </c>
      <c r="C112" s="369"/>
      <c r="D112" s="211">
        <f>+D104</f>
        <v>3315.11</v>
      </c>
    </row>
    <row r="113" spans="1:4" s="30" customFormat="1" ht="16.5" customHeight="1" thickBot="1" x14ac:dyDescent="0.3">
      <c r="A113" s="353" t="s">
        <v>46</v>
      </c>
      <c r="B113" s="354"/>
      <c r="C113" s="354"/>
      <c r="D113" s="241">
        <f>+D111+D112</f>
        <v>12870.43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126</v>
      </c>
    </row>
    <row r="117" spans="1:4" x14ac:dyDescent="0.25">
      <c r="B117" s="28"/>
      <c r="C117" s="366"/>
      <c r="D117" s="366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2">
    <mergeCell ref="B112:C112"/>
    <mergeCell ref="A113:C113"/>
    <mergeCell ref="C117:D117"/>
    <mergeCell ref="B106:C106"/>
    <mergeCell ref="B107:C107"/>
    <mergeCell ref="B108:C108"/>
    <mergeCell ref="B109:C109"/>
    <mergeCell ref="B110:C110"/>
    <mergeCell ref="A111:C111"/>
    <mergeCell ref="A105:C105"/>
    <mergeCell ref="B85:C85"/>
    <mergeCell ref="B86:C86"/>
    <mergeCell ref="B87:C87"/>
    <mergeCell ref="B88:C88"/>
    <mergeCell ref="B89:C89"/>
    <mergeCell ref="A90:C90"/>
    <mergeCell ref="A91:C91"/>
    <mergeCell ref="A92:D92"/>
    <mergeCell ref="B93:C93"/>
    <mergeCell ref="A104:C104"/>
    <mergeCell ref="A84:D84"/>
    <mergeCell ref="A63:D63"/>
    <mergeCell ref="B64:C64"/>
    <mergeCell ref="A72:B72"/>
    <mergeCell ref="B74:C74"/>
    <mergeCell ref="A76:B76"/>
    <mergeCell ref="A77:D77"/>
    <mergeCell ref="A78:D78"/>
    <mergeCell ref="B79:C79"/>
    <mergeCell ref="A82:B82"/>
    <mergeCell ref="A83:C83"/>
    <mergeCell ref="A62:B62"/>
    <mergeCell ref="B56:C56"/>
    <mergeCell ref="A26:D26"/>
    <mergeCell ref="B27:C27"/>
    <mergeCell ref="A30:B30"/>
    <mergeCell ref="A31:D31"/>
    <mergeCell ref="B32:C32"/>
    <mergeCell ref="A41:B41"/>
    <mergeCell ref="A42:D42"/>
    <mergeCell ref="A49:C49"/>
    <mergeCell ref="A50:D50"/>
    <mergeCell ref="A54:C54"/>
    <mergeCell ref="A55:D5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C6:D6"/>
    <mergeCell ref="A1:D1"/>
    <mergeCell ref="A2:D2"/>
    <mergeCell ref="A3:D3"/>
    <mergeCell ref="C4:D4"/>
    <mergeCell ref="C5:D5"/>
  </mergeCells>
  <hyperlinks>
    <hyperlink ref="B38" r:id="rId1" display="08 - Sebrae 0,3% ou 0,6% - IN nº 03, MPS/SRP/2005, Anexo II e III ver código da Tabela" xr:uid="{00000000-0004-0000-0600-000000000000}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24"/>
  <sheetViews>
    <sheetView view="pageBreakPreview" topLeftCell="A98" zoomScaleNormal="115" zoomScaleSheetLayoutView="100" workbookViewId="0">
      <selection activeCell="D11" sqref="D1:D104857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3" width="15.7109375" style="32" customWidth="1"/>
    <col min="4" max="4" width="15.7109375" style="28" customWidth="1"/>
    <col min="5" max="5" width="9.140625" style="28" customWidth="1"/>
    <col min="6" max="16384" width="9.140625" style="28"/>
  </cols>
  <sheetData>
    <row r="1" spans="1:4" x14ac:dyDescent="0.25">
      <c r="A1" s="377"/>
      <c r="B1" s="378"/>
      <c r="C1" s="378"/>
      <c r="D1" s="379"/>
    </row>
    <row r="2" spans="1:4" s="38" customFormat="1" ht="16.5" customHeight="1" x14ac:dyDescent="0.25">
      <c r="A2" s="350" t="s">
        <v>127</v>
      </c>
      <c r="B2" s="351"/>
      <c r="C2" s="351"/>
      <c r="D2" s="352"/>
    </row>
    <row r="3" spans="1:4" s="38" customFormat="1" x14ac:dyDescent="0.25">
      <c r="A3" s="347" t="s">
        <v>126</v>
      </c>
      <c r="B3" s="348"/>
      <c r="C3" s="348"/>
      <c r="D3" s="349"/>
    </row>
    <row r="4" spans="1:4" s="38" customFormat="1" ht="15" customHeight="1" x14ac:dyDescent="0.25">
      <c r="A4" s="76" t="s">
        <v>0</v>
      </c>
      <c r="B4" s="267" t="s">
        <v>1</v>
      </c>
      <c r="C4" s="385">
        <v>2025</v>
      </c>
      <c r="D4" s="386"/>
    </row>
    <row r="5" spans="1:4" s="38" customFormat="1" ht="75" customHeight="1" x14ac:dyDescent="0.25">
      <c r="A5" s="76" t="s">
        <v>2</v>
      </c>
      <c r="B5" s="267" t="s">
        <v>135</v>
      </c>
      <c r="C5" s="387" t="s">
        <v>248</v>
      </c>
      <c r="D5" s="388"/>
    </row>
    <row r="6" spans="1:4" s="38" customFormat="1" ht="15.75" customHeight="1" x14ac:dyDescent="0.25">
      <c r="A6" s="76" t="s">
        <v>3</v>
      </c>
      <c r="B6" s="267" t="s">
        <v>4</v>
      </c>
      <c r="C6" s="387" t="s">
        <v>254</v>
      </c>
      <c r="D6" s="388"/>
    </row>
    <row r="7" spans="1:4" s="38" customFormat="1" x14ac:dyDescent="0.25">
      <c r="A7" s="76" t="s">
        <v>5</v>
      </c>
      <c r="B7" s="267" t="s">
        <v>295</v>
      </c>
      <c r="C7" s="387">
        <v>12</v>
      </c>
      <c r="D7" s="388"/>
    </row>
    <row r="8" spans="1:4" s="38" customFormat="1" x14ac:dyDescent="0.25">
      <c r="A8" s="347" t="s">
        <v>6</v>
      </c>
      <c r="B8" s="348"/>
      <c r="C8" s="348"/>
      <c r="D8" s="349"/>
    </row>
    <row r="9" spans="1:4" s="38" customFormat="1" x14ac:dyDescent="0.25">
      <c r="A9" s="347" t="s">
        <v>7</v>
      </c>
      <c r="B9" s="348"/>
      <c r="C9" s="348"/>
      <c r="D9" s="349"/>
    </row>
    <row r="10" spans="1:4" s="38" customFormat="1" ht="15.75" customHeight="1" x14ac:dyDescent="0.25">
      <c r="A10" s="347" t="s">
        <v>8</v>
      </c>
      <c r="B10" s="348"/>
      <c r="C10" s="348"/>
      <c r="D10" s="349"/>
    </row>
    <row r="11" spans="1:4" s="38" customFormat="1" ht="30" customHeight="1" x14ac:dyDescent="0.25">
      <c r="A11" s="389" t="s">
        <v>9</v>
      </c>
      <c r="B11" s="390"/>
      <c r="C11" s="390"/>
      <c r="D11" s="281"/>
    </row>
    <row r="12" spans="1:4" s="38" customFormat="1" ht="60" customHeight="1" x14ac:dyDescent="0.25">
      <c r="A12" s="76">
        <v>1</v>
      </c>
      <c r="B12" s="255" t="s">
        <v>128</v>
      </c>
      <c r="C12" s="380" t="s">
        <v>249</v>
      </c>
      <c r="D12" s="381"/>
    </row>
    <row r="13" spans="1:4" s="38" customFormat="1" ht="30" customHeight="1" x14ac:dyDescent="0.25">
      <c r="A13" s="76">
        <v>2</v>
      </c>
      <c r="B13" s="255" t="s">
        <v>11</v>
      </c>
      <c r="C13" s="392">
        <v>4750</v>
      </c>
      <c r="D13" s="393"/>
    </row>
    <row r="14" spans="1:4" s="38" customFormat="1" ht="15.75" customHeight="1" x14ac:dyDescent="0.25">
      <c r="A14" s="76">
        <v>3</v>
      </c>
      <c r="B14" s="255" t="s">
        <v>12</v>
      </c>
      <c r="C14" s="380" t="s">
        <v>218</v>
      </c>
      <c r="D14" s="381"/>
    </row>
    <row r="15" spans="1:4" s="38" customFormat="1" x14ac:dyDescent="0.25">
      <c r="A15" s="76">
        <v>4</v>
      </c>
      <c r="B15" s="154" t="s">
        <v>13</v>
      </c>
      <c r="C15" s="383">
        <v>2025</v>
      </c>
      <c r="D15" s="384"/>
    </row>
    <row r="16" spans="1:4" s="39" customFormat="1" x14ac:dyDescent="0.25">
      <c r="A16" s="345" t="s">
        <v>14</v>
      </c>
      <c r="B16" s="346"/>
      <c r="C16" s="346"/>
      <c r="D16" s="150" t="s">
        <v>247</v>
      </c>
    </row>
    <row r="17" spans="1:4" s="39" customFormat="1" x14ac:dyDescent="0.25">
      <c r="A17" s="268">
        <v>1</v>
      </c>
      <c r="B17" s="363" t="s">
        <v>15</v>
      </c>
      <c r="C17" s="363"/>
      <c r="D17" s="152" t="s">
        <v>10</v>
      </c>
    </row>
    <row r="18" spans="1:4" s="38" customFormat="1" ht="15.75" customHeight="1" x14ac:dyDescent="0.25">
      <c r="A18" s="153" t="s">
        <v>0</v>
      </c>
      <c r="B18" s="154" t="s">
        <v>16</v>
      </c>
      <c r="C18" s="69"/>
      <c r="D18" s="155">
        <f>C13</f>
        <v>4750</v>
      </c>
    </row>
    <row r="19" spans="1:4" s="38" customFormat="1" ht="15.75" customHeight="1" x14ac:dyDescent="0.25">
      <c r="A19" s="153" t="s">
        <v>2</v>
      </c>
      <c r="B19" s="154" t="s">
        <v>17</v>
      </c>
      <c r="C19" s="156"/>
      <c r="D19" s="193"/>
    </row>
    <row r="20" spans="1:4" s="38" customFormat="1" ht="15.75" customHeight="1" x14ac:dyDescent="0.25">
      <c r="A20" s="153" t="s">
        <v>3</v>
      </c>
      <c r="B20" s="154" t="s">
        <v>18</v>
      </c>
      <c r="C20" s="159">
        <v>1518</v>
      </c>
      <c r="D20" s="193">
        <f>40%*C20</f>
        <v>607.20000000000005</v>
      </c>
    </row>
    <row r="21" spans="1:4" s="38" customFormat="1" ht="15.75" customHeight="1" x14ac:dyDescent="0.25">
      <c r="A21" s="153" t="s">
        <v>5</v>
      </c>
      <c r="B21" s="154" t="s">
        <v>19</v>
      </c>
      <c r="C21" s="156"/>
      <c r="D21" s="193"/>
    </row>
    <row r="22" spans="1:4" s="38" customFormat="1" ht="15.75" customHeight="1" x14ac:dyDescent="0.25">
      <c r="A22" s="153" t="s">
        <v>20</v>
      </c>
      <c r="B22" s="154" t="s">
        <v>196</v>
      </c>
      <c r="C22" s="156"/>
      <c r="D22" s="193"/>
    </row>
    <row r="23" spans="1:4" s="38" customFormat="1" x14ac:dyDescent="0.25">
      <c r="A23" s="153" t="s">
        <v>21</v>
      </c>
      <c r="B23" s="154" t="s">
        <v>133</v>
      </c>
      <c r="C23" s="162"/>
      <c r="D23" s="193"/>
    </row>
    <row r="24" spans="1:4" s="38" customFormat="1" ht="15.75" customHeight="1" x14ac:dyDescent="0.25">
      <c r="A24" s="153" t="s">
        <v>22</v>
      </c>
      <c r="B24" s="274" t="s">
        <v>134</v>
      </c>
      <c r="C24" s="162"/>
      <c r="D24" s="193"/>
    </row>
    <row r="25" spans="1:4" s="39" customFormat="1" ht="15.75" customHeight="1" x14ac:dyDescent="0.25">
      <c r="A25" s="341" t="s">
        <v>145</v>
      </c>
      <c r="B25" s="342"/>
      <c r="C25" s="342"/>
      <c r="D25" s="213">
        <f>SUM(D18:D24)</f>
        <v>5357.2</v>
      </c>
    </row>
    <row r="26" spans="1:4" s="39" customFormat="1" x14ac:dyDescent="0.25">
      <c r="A26" s="343" t="s">
        <v>48</v>
      </c>
      <c r="B26" s="344"/>
      <c r="C26" s="344"/>
      <c r="D26" s="256"/>
    </row>
    <row r="27" spans="1:4" s="38" customFormat="1" x14ac:dyDescent="0.25">
      <c r="A27" s="273">
        <v>2</v>
      </c>
      <c r="B27" s="364" t="s">
        <v>197</v>
      </c>
      <c r="C27" s="365"/>
      <c r="D27" s="169" t="s">
        <v>10</v>
      </c>
    </row>
    <row r="28" spans="1:4" s="38" customFormat="1" x14ac:dyDescent="0.25">
      <c r="A28" s="170" t="s">
        <v>0</v>
      </c>
      <c r="B28" s="272" t="s">
        <v>28</v>
      </c>
      <c r="C28" s="172">
        <f>1/12</f>
        <v>8.3299999999999999E-2</v>
      </c>
      <c r="D28" s="211">
        <f>(D25)*C28</f>
        <v>446.25</v>
      </c>
    </row>
    <row r="29" spans="1:4" s="38" customFormat="1" x14ac:dyDescent="0.25">
      <c r="A29" s="170" t="s">
        <v>2</v>
      </c>
      <c r="B29" s="272" t="s">
        <v>141</v>
      </c>
      <c r="C29" s="172">
        <v>0.1111</v>
      </c>
      <c r="D29" s="211">
        <f>(D25)*C29</f>
        <v>595.17999999999995</v>
      </c>
    </row>
    <row r="30" spans="1:4" x14ac:dyDescent="0.25">
      <c r="A30" s="361" t="s">
        <v>27</v>
      </c>
      <c r="B30" s="362"/>
      <c r="C30" s="175">
        <f>SUM(C28:C29)</f>
        <v>0.19439999999999999</v>
      </c>
      <c r="D30" s="59">
        <f>SUM(D28:D29)</f>
        <v>1041.43</v>
      </c>
    </row>
    <row r="31" spans="1:4" ht="32.25" customHeight="1" x14ac:dyDescent="0.25">
      <c r="A31" s="358" t="s">
        <v>198</v>
      </c>
      <c r="B31" s="359"/>
      <c r="C31" s="359"/>
      <c r="D31" s="360"/>
    </row>
    <row r="32" spans="1:4" x14ac:dyDescent="0.25">
      <c r="A32" s="270" t="s">
        <v>201</v>
      </c>
      <c r="B32" s="340" t="s">
        <v>25</v>
      </c>
      <c r="C32" s="396"/>
      <c r="D32" s="215" t="s">
        <v>10</v>
      </c>
    </row>
    <row r="33" spans="1:4" x14ac:dyDescent="0.25">
      <c r="A33" s="170" t="s">
        <v>0</v>
      </c>
      <c r="B33" s="179" t="s">
        <v>296</v>
      </c>
      <c r="C33" s="172">
        <v>0.2</v>
      </c>
      <c r="D33" s="211">
        <f>(D25+D30)*C33</f>
        <v>1279.73</v>
      </c>
    </row>
    <row r="34" spans="1:4" x14ac:dyDescent="0.25">
      <c r="A34" s="170" t="s">
        <v>2</v>
      </c>
      <c r="B34" s="179" t="s">
        <v>297</v>
      </c>
      <c r="C34" s="180">
        <v>2.5000000000000001E-2</v>
      </c>
      <c r="D34" s="211">
        <f>(D25+D30)*C34</f>
        <v>159.97</v>
      </c>
    </row>
    <row r="35" spans="1:4" ht="45" x14ac:dyDescent="0.25">
      <c r="A35" s="170" t="s">
        <v>3</v>
      </c>
      <c r="B35" s="271" t="s">
        <v>298</v>
      </c>
      <c r="C35" s="180">
        <v>0.03</v>
      </c>
      <c r="D35" s="211">
        <f>(D25+D30)*C35</f>
        <v>191.96</v>
      </c>
    </row>
    <row r="36" spans="1:4" x14ac:dyDescent="0.25">
      <c r="A36" s="170" t="s">
        <v>5</v>
      </c>
      <c r="B36" s="179" t="s">
        <v>299</v>
      </c>
      <c r="C36" s="180">
        <v>1.4999999999999999E-2</v>
      </c>
      <c r="D36" s="211">
        <f>(D25+D30)*C36</f>
        <v>95.98</v>
      </c>
    </row>
    <row r="37" spans="1:4" x14ac:dyDescent="0.25">
      <c r="A37" s="170" t="s">
        <v>20</v>
      </c>
      <c r="B37" s="179" t="s">
        <v>300</v>
      </c>
      <c r="C37" s="180">
        <v>0.01</v>
      </c>
      <c r="D37" s="211">
        <f>(D25+D30)*C37</f>
        <v>63.99</v>
      </c>
    </row>
    <row r="38" spans="1:4" x14ac:dyDescent="0.25">
      <c r="A38" s="170" t="s">
        <v>21</v>
      </c>
      <c r="B38" s="181" t="s">
        <v>200</v>
      </c>
      <c r="C38" s="180">
        <v>6.0000000000000001E-3</v>
      </c>
      <c r="D38" s="211">
        <f>(D25+D30)*C38</f>
        <v>38.39</v>
      </c>
    </row>
    <row r="39" spans="1:4" ht="30.75" customHeight="1" x14ac:dyDescent="0.25">
      <c r="A39" s="170" t="s">
        <v>22</v>
      </c>
      <c r="B39" s="271" t="s">
        <v>301</v>
      </c>
      <c r="C39" s="180">
        <v>2E-3</v>
      </c>
      <c r="D39" s="211">
        <f>(D25+D30)*C39</f>
        <v>12.8</v>
      </c>
    </row>
    <row r="40" spans="1:4" x14ac:dyDescent="0.25">
      <c r="A40" s="170" t="s">
        <v>26</v>
      </c>
      <c r="B40" s="182" t="s">
        <v>199</v>
      </c>
      <c r="C40" s="180">
        <v>0.08</v>
      </c>
      <c r="D40" s="211">
        <f>(D25+D30)*C40</f>
        <v>511.89</v>
      </c>
    </row>
    <row r="41" spans="1:4" s="30" customFormat="1" x14ac:dyDescent="0.25">
      <c r="A41" s="361" t="s">
        <v>27</v>
      </c>
      <c r="B41" s="362"/>
      <c r="C41" s="183">
        <f>SUM(C33:C40)</f>
        <v>0.36799999999999999</v>
      </c>
      <c r="D41" s="59">
        <f>SUM(D33:D40)</f>
        <v>2354.71</v>
      </c>
    </row>
    <row r="42" spans="1:4" s="30" customFormat="1" x14ac:dyDescent="0.25">
      <c r="A42" s="186" t="s">
        <v>202</v>
      </c>
      <c r="B42" s="397" t="s">
        <v>203</v>
      </c>
      <c r="C42" s="398"/>
      <c r="D42" s="230" t="s">
        <v>10</v>
      </c>
    </row>
    <row r="43" spans="1:4" s="30" customFormat="1" x14ac:dyDescent="0.25">
      <c r="A43" s="189" t="s">
        <v>0</v>
      </c>
      <c r="B43" s="190" t="s">
        <v>137</v>
      </c>
      <c r="C43" s="191"/>
      <c r="D43" s="193">
        <v>0</v>
      </c>
    </row>
    <row r="44" spans="1:4" s="30" customFormat="1" x14ac:dyDescent="0.25">
      <c r="A44" s="194" t="s">
        <v>2</v>
      </c>
      <c r="B44" s="274" t="s">
        <v>204</v>
      </c>
      <c r="C44" s="160"/>
      <c r="D44" s="155">
        <v>0</v>
      </c>
    </row>
    <row r="45" spans="1:4" s="30" customFormat="1" x14ac:dyDescent="0.25">
      <c r="A45" s="170" t="s">
        <v>5</v>
      </c>
      <c r="B45" s="272" t="s">
        <v>129</v>
      </c>
      <c r="C45" s="195"/>
      <c r="D45" s="197">
        <v>0</v>
      </c>
    </row>
    <row r="46" spans="1:4" s="30" customFormat="1" x14ac:dyDescent="0.25">
      <c r="A46" s="170" t="s">
        <v>20</v>
      </c>
      <c r="B46" s="272" t="s">
        <v>130</v>
      </c>
      <c r="C46" s="172"/>
      <c r="D46" s="197">
        <v>0</v>
      </c>
    </row>
    <row r="47" spans="1:4" s="30" customFormat="1" x14ac:dyDescent="0.25">
      <c r="A47" s="170" t="s">
        <v>21</v>
      </c>
      <c r="B47" s="272" t="s">
        <v>131</v>
      </c>
      <c r="C47" s="195"/>
      <c r="D47" s="211">
        <v>0</v>
      </c>
    </row>
    <row r="48" spans="1:4" s="30" customFormat="1" ht="15.75" customHeight="1" x14ac:dyDescent="0.25">
      <c r="A48" s="361" t="s">
        <v>23</v>
      </c>
      <c r="B48" s="362"/>
      <c r="C48" s="362"/>
      <c r="D48" s="59">
        <f>SUM(D43:D47)</f>
        <v>0</v>
      </c>
    </row>
    <row r="49" spans="1:4" s="30" customFormat="1" ht="15.75" customHeight="1" x14ac:dyDescent="0.25">
      <c r="A49" s="343" t="s">
        <v>144</v>
      </c>
      <c r="B49" s="344"/>
      <c r="C49" s="344"/>
      <c r="D49" s="405"/>
    </row>
    <row r="50" spans="1:4" s="30" customFormat="1" ht="15.75" customHeight="1" x14ac:dyDescent="0.25">
      <c r="A50" s="268" t="s">
        <v>136</v>
      </c>
      <c r="B50" s="200" t="s">
        <v>138</v>
      </c>
      <c r="C50" s="269"/>
      <c r="D50" s="204">
        <f>D30</f>
        <v>1041.43</v>
      </c>
    </row>
    <row r="51" spans="1:4" s="30" customFormat="1" ht="15.75" customHeight="1" x14ac:dyDescent="0.25">
      <c r="A51" s="268" t="s">
        <v>201</v>
      </c>
      <c r="B51" s="200" t="s">
        <v>139</v>
      </c>
      <c r="C51" s="269"/>
      <c r="D51" s="204">
        <f>D41</f>
        <v>2354.71</v>
      </c>
    </row>
    <row r="52" spans="1:4" s="30" customFormat="1" ht="15.75" customHeight="1" x14ac:dyDescent="0.25">
      <c r="A52" s="268" t="s">
        <v>202</v>
      </c>
      <c r="B52" s="200" t="s">
        <v>140</v>
      </c>
      <c r="C52" s="269"/>
      <c r="D52" s="204">
        <f>D48</f>
        <v>0</v>
      </c>
    </row>
    <row r="53" spans="1:4" s="30" customFormat="1" ht="15.75" customHeight="1" x14ac:dyDescent="0.25">
      <c r="A53" s="341" t="s">
        <v>146</v>
      </c>
      <c r="B53" s="342"/>
      <c r="C53" s="342"/>
      <c r="D53" s="213">
        <f>SUM(D50:D52)</f>
        <v>3396.14</v>
      </c>
    </row>
    <row r="54" spans="1:4" s="30" customFormat="1" ht="15.75" customHeight="1" x14ac:dyDescent="0.25">
      <c r="A54" s="343" t="s">
        <v>155</v>
      </c>
      <c r="B54" s="344"/>
      <c r="C54" s="344"/>
      <c r="D54" s="405"/>
    </row>
    <row r="55" spans="1:4" s="30" customFormat="1" ht="15.75" customHeight="1" x14ac:dyDescent="0.25">
      <c r="A55" s="273" t="s">
        <v>192</v>
      </c>
      <c r="B55" s="337" t="s">
        <v>32</v>
      </c>
      <c r="C55" s="338"/>
      <c r="D55" s="169" t="s">
        <v>10</v>
      </c>
    </row>
    <row r="56" spans="1:4" s="30" customFormat="1" ht="15.75" customHeight="1" x14ac:dyDescent="0.25">
      <c r="A56" s="170" t="s">
        <v>0</v>
      </c>
      <c r="B56" s="272" t="s">
        <v>33</v>
      </c>
      <c r="C56" s="172">
        <v>4.5999999999999999E-3</v>
      </c>
      <c r="D56" s="211">
        <f>D$25*C56</f>
        <v>24.64</v>
      </c>
    </row>
    <row r="57" spans="1:4" s="30" customFormat="1" ht="15.75" customHeight="1" x14ac:dyDescent="0.25">
      <c r="A57" s="170" t="s">
        <v>2</v>
      </c>
      <c r="B57" s="272" t="s">
        <v>34</v>
      </c>
      <c r="C57" s="172">
        <v>4.0000000000000002E-4</v>
      </c>
      <c r="D57" s="211">
        <f>D$25*C57</f>
        <v>2.14</v>
      </c>
    </row>
    <row r="58" spans="1:4" s="30" customFormat="1" ht="15.75" customHeight="1" x14ac:dyDescent="0.25">
      <c r="A58" s="170" t="s">
        <v>3</v>
      </c>
      <c r="B58" s="272" t="s">
        <v>35</v>
      </c>
      <c r="C58" s="172">
        <v>1.9400000000000001E-2</v>
      </c>
      <c r="D58" s="211">
        <f>D$25*C58</f>
        <v>103.93</v>
      </c>
    </row>
    <row r="59" spans="1:4" s="30" customFormat="1" ht="30" customHeight="1" x14ac:dyDescent="0.25">
      <c r="A59" s="170" t="s">
        <v>5</v>
      </c>
      <c r="B59" s="271" t="s">
        <v>304</v>
      </c>
      <c r="C59" s="172">
        <v>7.7000000000000002E-3</v>
      </c>
      <c r="D59" s="211">
        <f>D$25*C59</f>
        <v>41.25</v>
      </c>
    </row>
    <row r="60" spans="1:4" s="30" customFormat="1" ht="32.25" customHeight="1" x14ac:dyDescent="0.25">
      <c r="A60" s="170" t="s">
        <v>20</v>
      </c>
      <c r="B60" s="272" t="s">
        <v>205</v>
      </c>
      <c r="C60" s="172">
        <v>0.04</v>
      </c>
      <c r="D60" s="211">
        <f>D$25*C60</f>
        <v>214.29</v>
      </c>
    </row>
    <row r="61" spans="1:4" s="30" customFormat="1" ht="15.75" customHeight="1" x14ac:dyDescent="0.25">
      <c r="A61" s="341" t="s">
        <v>147</v>
      </c>
      <c r="B61" s="342"/>
      <c r="C61" s="280">
        <f>SUM(C56:C60)</f>
        <v>7.2099999999999997E-2</v>
      </c>
      <c r="D61" s="213">
        <f>SUM(D56:D60)</f>
        <v>386.25</v>
      </c>
    </row>
    <row r="62" spans="1:4" s="30" customFormat="1" x14ac:dyDescent="0.25">
      <c r="A62" s="343" t="s">
        <v>156</v>
      </c>
      <c r="B62" s="344"/>
      <c r="C62" s="344"/>
      <c r="D62" s="405"/>
    </row>
    <row r="63" spans="1:4" s="30" customFormat="1" x14ac:dyDescent="0.25">
      <c r="A63" s="273" t="s">
        <v>191</v>
      </c>
      <c r="B63" s="374" t="s">
        <v>36</v>
      </c>
      <c r="C63" s="374"/>
      <c r="D63" s="169" t="s">
        <v>10</v>
      </c>
    </row>
    <row r="64" spans="1:4" s="30" customFormat="1" x14ac:dyDescent="0.25">
      <c r="A64" s="170" t="s">
        <v>0</v>
      </c>
      <c r="B64" s="278" t="s">
        <v>184</v>
      </c>
      <c r="C64" s="172">
        <f>C29/12</f>
        <v>9.2999999999999992E-3</v>
      </c>
      <c r="D64" s="211">
        <f>(D25+D53+D61+D85)*C64</f>
        <v>85.31</v>
      </c>
    </row>
    <row r="65" spans="1:4" s="30" customFormat="1" x14ac:dyDescent="0.25">
      <c r="A65" s="170" t="s">
        <v>2</v>
      </c>
      <c r="B65" s="278" t="s">
        <v>185</v>
      </c>
      <c r="C65" s="172">
        <v>1.3899999999999999E-2</v>
      </c>
      <c r="D65" s="211">
        <f>(D$25+D$53+D$61+D85)*C65</f>
        <v>127.51</v>
      </c>
    </row>
    <row r="66" spans="1:4" s="30" customFormat="1" x14ac:dyDescent="0.25">
      <c r="A66" s="170" t="s">
        <v>3</v>
      </c>
      <c r="B66" s="278" t="s">
        <v>188</v>
      </c>
      <c r="C66" s="172">
        <v>1.2999999999999999E-3</v>
      </c>
      <c r="D66" s="211">
        <f>(D$25+D$53+D$61+D$85)*C66</f>
        <v>11.93</v>
      </c>
    </row>
    <row r="67" spans="1:4" s="30" customFormat="1" x14ac:dyDescent="0.25">
      <c r="A67" s="170" t="s">
        <v>5</v>
      </c>
      <c r="B67" s="278" t="s">
        <v>186</v>
      </c>
      <c r="C67" s="172">
        <v>2.0000000000000001E-4</v>
      </c>
      <c r="D67" s="211">
        <f>(D$25+D$53+D$61+D$85)*C67</f>
        <v>1.83</v>
      </c>
    </row>
    <row r="68" spans="1:4" s="30" customFormat="1" x14ac:dyDescent="0.25">
      <c r="A68" s="170" t="s">
        <v>20</v>
      </c>
      <c r="B68" s="278" t="s">
        <v>291</v>
      </c>
      <c r="C68" s="172">
        <v>2.8E-3</v>
      </c>
      <c r="D68" s="211">
        <f>(D$25+D$53+D$61+D$85)*C68</f>
        <v>25.69</v>
      </c>
    </row>
    <row r="69" spans="1:4" s="30" customFormat="1" x14ac:dyDescent="0.25">
      <c r="A69" s="170" t="s">
        <v>21</v>
      </c>
      <c r="B69" s="278" t="s">
        <v>187</v>
      </c>
      <c r="C69" s="172">
        <v>2.9999999999999997E-4</v>
      </c>
      <c r="D69" s="211">
        <f>(D$25+D$53+D$61+D$85)*C69</f>
        <v>2.75</v>
      </c>
    </row>
    <row r="70" spans="1:4" s="30" customFormat="1" ht="15.75" customHeight="1" x14ac:dyDescent="0.25">
      <c r="A70" s="170" t="s">
        <v>22</v>
      </c>
      <c r="B70" s="272" t="s">
        <v>189</v>
      </c>
      <c r="C70" s="172">
        <v>0</v>
      </c>
      <c r="D70" s="211">
        <f>(D$25+D$53+D$61+D$85)*C70</f>
        <v>0</v>
      </c>
    </row>
    <row r="71" spans="1:4" s="30" customFormat="1" x14ac:dyDescent="0.25">
      <c r="A71" s="361" t="s">
        <v>29</v>
      </c>
      <c r="B71" s="362"/>
      <c r="C71" s="183">
        <f>SUM(C64:C70)</f>
        <v>2.7799999999999998E-2</v>
      </c>
      <c r="D71" s="59">
        <f>SUM(D64:D70)</f>
        <v>255.02</v>
      </c>
    </row>
    <row r="72" spans="1:4" s="30" customFormat="1" x14ac:dyDescent="0.25">
      <c r="A72" s="268"/>
      <c r="B72" s="269"/>
      <c r="C72" s="201"/>
      <c r="D72" s="155"/>
    </row>
    <row r="73" spans="1:4" s="30" customFormat="1" x14ac:dyDescent="0.25">
      <c r="A73" s="268"/>
      <c r="B73" s="363" t="s">
        <v>193</v>
      </c>
      <c r="C73" s="373"/>
      <c r="D73" s="169" t="s">
        <v>10</v>
      </c>
    </row>
    <row r="74" spans="1:4" s="30" customFormat="1" x14ac:dyDescent="0.25">
      <c r="A74" s="194" t="s">
        <v>0</v>
      </c>
      <c r="B74" s="274" t="s">
        <v>194</v>
      </c>
      <c r="C74" s="201">
        <v>0</v>
      </c>
      <c r="D74" s="257">
        <v>0</v>
      </c>
    </row>
    <row r="75" spans="1:4" s="30" customFormat="1" ht="15.75" customHeight="1" x14ac:dyDescent="0.25">
      <c r="A75" s="361" t="s">
        <v>27</v>
      </c>
      <c r="B75" s="362"/>
      <c r="C75" s="205">
        <v>0</v>
      </c>
      <c r="D75" s="59">
        <f>D74</f>
        <v>0</v>
      </c>
    </row>
    <row r="76" spans="1:4" s="30" customFormat="1" ht="15.75" customHeight="1" x14ac:dyDescent="0.25">
      <c r="A76" s="343" t="s">
        <v>30</v>
      </c>
      <c r="B76" s="344"/>
      <c r="C76" s="344"/>
      <c r="D76" s="405"/>
    </row>
    <row r="77" spans="1:4" s="30" customFormat="1" ht="15.75" customHeight="1" x14ac:dyDescent="0.25">
      <c r="A77" s="375" t="s">
        <v>195</v>
      </c>
      <c r="B77" s="376"/>
      <c r="C77" s="376"/>
      <c r="D77" s="407"/>
    </row>
    <row r="78" spans="1:4" s="30" customFormat="1" ht="15.75" customHeight="1" x14ac:dyDescent="0.25">
      <c r="A78" s="273">
        <v>4</v>
      </c>
      <c r="B78" s="337" t="s">
        <v>206</v>
      </c>
      <c r="C78" s="338"/>
      <c r="D78" s="169" t="s">
        <v>10</v>
      </c>
    </row>
    <row r="79" spans="1:4" s="30" customFormat="1" ht="15.75" customHeight="1" x14ac:dyDescent="0.25">
      <c r="A79" s="170" t="s">
        <v>191</v>
      </c>
      <c r="B79" s="272" t="s">
        <v>190</v>
      </c>
      <c r="C79" s="172">
        <f>C71</f>
        <v>2.7799999999999998E-2</v>
      </c>
      <c r="D79" s="211">
        <f>D71</f>
        <v>255.02</v>
      </c>
    </row>
    <row r="80" spans="1:4" s="30" customFormat="1" ht="15.75" customHeight="1" x14ac:dyDescent="0.25">
      <c r="A80" s="170" t="s">
        <v>207</v>
      </c>
      <c r="B80" s="272" t="s">
        <v>193</v>
      </c>
      <c r="C80" s="172">
        <v>0</v>
      </c>
      <c r="D80" s="211">
        <f>(D$25+D$53+D$61)*C80</f>
        <v>0</v>
      </c>
    </row>
    <row r="81" spans="1:4" s="30" customFormat="1" ht="15.75" customHeight="1" x14ac:dyDescent="0.25">
      <c r="A81" s="361" t="s">
        <v>27</v>
      </c>
      <c r="B81" s="362"/>
      <c r="C81" s="175">
        <f>SUM(C79:C80)</f>
        <v>2.7799999999999998E-2</v>
      </c>
      <c r="D81" s="59">
        <f>SUM(D79:D80)</f>
        <v>255.02</v>
      </c>
    </row>
    <row r="82" spans="1:4" s="30" customFormat="1" ht="15.75" customHeight="1" x14ac:dyDescent="0.25">
      <c r="A82" s="341" t="s">
        <v>148</v>
      </c>
      <c r="B82" s="342"/>
      <c r="C82" s="342"/>
      <c r="D82" s="213">
        <f>SUM(D75+D81)</f>
        <v>255.02</v>
      </c>
    </row>
    <row r="83" spans="1:4" s="30" customFormat="1" ht="15.75" customHeight="1" x14ac:dyDescent="0.25">
      <c r="A83" s="339" t="s">
        <v>157</v>
      </c>
      <c r="B83" s="340"/>
      <c r="C83" s="340"/>
      <c r="D83" s="408"/>
    </row>
    <row r="84" spans="1:4" s="30" customFormat="1" ht="15.75" customHeight="1" x14ac:dyDescent="0.25">
      <c r="A84" s="273">
        <v>5</v>
      </c>
      <c r="B84" s="337" t="s">
        <v>24</v>
      </c>
      <c r="C84" s="338"/>
      <c r="D84" s="169" t="s">
        <v>10</v>
      </c>
    </row>
    <row r="85" spans="1:4" s="30" customFormat="1" ht="15.75" customHeight="1" x14ac:dyDescent="0.25">
      <c r="A85" s="170" t="s">
        <v>0</v>
      </c>
      <c r="B85" s="336" t="s">
        <v>208</v>
      </c>
      <c r="C85" s="336"/>
      <c r="D85" s="211">
        <f>Uniformes!H7</f>
        <v>33.93</v>
      </c>
    </row>
    <row r="86" spans="1:4" s="30" customFormat="1" ht="15.75" customHeight="1" x14ac:dyDescent="0.25">
      <c r="A86" s="170" t="s">
        <v>2</v>
      </c>
      <c r="B86" s="336" t="s">
        <v>209</v>
      </c>
      <c r="C86" s="336"/>
      <c r="D86" s="211">
        <f>Materiais!H21</f>
        <v>40.090000000000003</v>
      </c>
    </row>
    <row r="87" spans="1:4" s="30" customFormat="1" ht="15.75" customHeight="1" x14ac:dyDescent="0.25">
      <c r="A87" s="170" t="s">
        <v>3</v>
      </c>
      <c r="B87" s="336" t="s">
        <v>179</v>
      </c>
      <c r="C87" s="336"/>
      <c r="D87" s="211">
        <f>Equipamentos!H21</f>
        <v>765.63</v>
      </c>
    </row>
    <row r="88" spans="1:4" s="30" customFormat="1" ht="15.75" customHeight="1" x14ac:dyDescent="0.25">
      <c r="A88" s="170" t="s">
        <v>5</v>
      </c>
      <c r="B88" s="336" t="s">
        <v>132</v>
      </c>
      <c r="C88" s="336"/>
      <c r="D88" s="211">
        <v>0</v>
      </c>
    </row>
    <row r="89" spans="1:4" s="30" customFormat="1" ht="15.75" customHeight="1" x14ac:dyDescent="0.25">
      <c r="A89" s="341" t="s">
        <v>149</v>
      </c>
      <c r="B89" s="342"/>
      <c r="C89" s="342"/>
      <c r="D89" s="213">
        <f>SUM(D85:D88)</f>
        <v>839.65</v>
      </c>
    </row>
    <row r="90" spans="1:4" s="30" customFormat="1" ht="30" customHeight="1" x14ac:dyDescent="0.25">
      <c r="A90" s="339" t="s">
        <v>211</v>
      </c>
      <c r="B90" s="340"/>
      <c r="C90" s="340"/>
      <c r="D90" s="235">
        <f>D89+D82+D61+D53+D25</f>
        <v>10234.26</v>
      </c>
    </row>
    <row r="91" spans="1:4" s="30" customFormat="1" ht="19.5" customHeight="1" x14ac:dyDescent="0.25">
      <c r="A91" s="343" t="s">
        <v>158</v>
      </c>
      <c r="B91" s="344"/>
      <c r="C91" s="344"/>
      <c r="D91" s="405"/>
    </row>
    <row r="92" spans="1:4" s="30" customFormat="1" x14ac:dyDescent="0.25">
      <c r="A92" s="273">
        <v>6</v>
      </c>
      <c r="B92" s="337" t="s">
        <v>38</v>
      </c>
      <c r="C92" s="355"/>
      <c r="D92" s="169" t="s">
        <v>10</v>
      </c>
    </row>
    <row r="93" spans="1:4" s="30" customFormat="1" x14ac:dyDescent="0.25">
      <c r="A93" s="170" t="s">
        <v>0</v>
      </c>
      <c r="B93" s="272" t="s">
        <v>39</v>
      </c>
      <c r="C93" s="216">
        <v>0.05</v>
      </c>
      <c r="D93" s="211">
        <f>+D90*C93</f>
        <v>511.71</v>
      </c>
    </row>
    <row r="94" spans="1:4" s="30" customFormat="1" x14ac:dyDescent="0.25">
      <c r="A94" s="170" t="s">
        <v>2</v>
      </c>
      <c r="B94" s="272" t="s">
        <v>40</v>
      </c>
      <c r="C94" s="216">
        <v>0.1</v>
      </c>
      <c r="D94" s="211">
        <f>C94*(+D90+D93)</f>
        <v>1074.5999999999999</v>
      </c>
    </row>
    <row r="95" spans="1:4" s="30" customFormat="1" ht="30" x14ac:dyDescent="0.25">
      <c r="A95" s="170"/>
      <c r="B95" s="272" t="s">
        <v>47</v>
      </c>
      <c r="C95" s="172">
        <f>1-C102</f>
        <v>0.85750000000000004</v>
      </c>
      <c r="D95" s="211">
        <f>+D90+D93+D94</f>
        <v>11820.57</v>
      </c>
    </row>
    <row r="96" spans="1:4" s="30" customFormat="1" x14ac:dyDescent="0.25">
      <c r="A96" s="170"/>
      <c r="B96" s="272"/>
      <c r="C96" s="40"/>
      <c r="D96" s="237">
        <f>+D95/C95</f>
        <v>13784.92</v>
      </c>
    </row>
    <row r="97" spans="1:4" s="30" customFormat="1" x14ac:dyDescent="0.25">
      <c r="A97" s="170" t="s">
        <v>3</v>
      </c>
      <c r="B97" s="272" t="s">
        <v>41</v>
      </c>
      <c r="C97" s="217">
        <f>C99+C100+C101</f>
        <v>0.14249999999999999</v>
      </c>
      <c r="D97" s="237"/>
    </row>
    <row r="98" spans="1:4" s="30" customFormat="1" x14ac:dyDescent="0.25">
      <c r="A98" s="170" t="s">
        <v>284</v>
      </c>
      <c r="B98" s="272" t="s">
        <v>280</v>
      </c>
      <c r="C98" s="254">
        <f>C99+C100</f>
        <v>9.2499999999999999E-2</v>
      </c>
      <c r="D98" s="211"/>
    </row>
    <row r="99" spans="1:4" s="30" customFormat="1" x14ac:dyDescent="0.25">
      <c r="A99" s="170" t="s">
        <v>285</v>
      </c>
      <c r="B99" s="278" t="s">
        <v>281</v>
      </c>
      <c r="C99" s="172">
        <v>1.6500000000000001E-2</v>
      </c>
      <c r="D99" s="211">
        <f>+D96*C99</f>
        <v>227.45</v>
      </c>
    </row>
    <row r="100" spans="1:4" s="30" customFormat="1" x14ac:dyDescent="0.25">
      <c r="A100" s="170" t="s">
        <v>286</v>
      </c>
      <c r="B100" s="278" t="s">
        <v>282</v>
      </c>
      <c r="C100" s="172">
        <v>7.5999999999999998E-2</v>
      </c>
      <c r="D100" s="211">
        <f>+D96*C100</f>
        <v>1047.6500000000001</v>
      </c>
    </row>
    <row r="101" spans="1:4" s="30" customFormat="1" x14ac:dyDescent="0.25">
      <c r="A101" s="170" t="s">
        <v>287</v>
      </c>
      <c r="B101" s="278" t="s">
        <v>283</v>
      </c>
      <c r="C101" s="172">
        <v>0.05</v>
      </c>
      <c r="D101" s="211">
        <f>+D96*C101</f>
        <v>689.25</v>
      </c>
    </row>
    <row r="102" spans="1:4" s="30" customFormat="1" x14ac:dyDescent="0.25">
      <c r="A102" s="273"/>
      <c r="B102" s="220" t="s">
        <v>42</v>
      </c>
      <c r="C102" s="221">
        <f>C97</f>
        <v>0.14249999999999999</v>
      </c>
      <c r="D102" s="223">
        <f>SUM(D99:D101)</f>
        <v>1964.35</v>
      </c>
    </row>
    <row r="103" spans="1:4" s="30" customFormat="1" ht="15.75" customHeight="1" x14ac:dyDescent="0.25">
      <c r="A103" s="361" t="s">
        <v>43</v>
      </c>
      <c r="B103" s="362"/>
      <c r="C103" s="362"/>
      <c r="D103" s="59">
        <f>+D93+D94+D102</f>
        <v>3550.66</v>
      </c>
    </row>
    <row r="104" spans="1:4" s="30" customFormat="1" ht="15.75" customHeight="1" x14ac:dyDescent="0.25">
      <c r="A104" s="367" t="s">
        <v>44</v>
      </c>
      <c r="B104" s="368"/>
      <c r="C104" s="368"/>
      <c r="D104" s="225" t="s">
        <v>10</v>
      </c>
    </row>
    <row r="105" spans="1:4" s="30" customFormat="1" x14ac:dyDescent="0.25">
      <c r="A105" s="170" t="s">
        <v>0</v>
      </c>
      <c r="B105" s="369" t="s">
        <v>45</v>
      </c>
      <c r="C105" s="369"/>
      <c r="D105" s="211">
        <f>D25</f>
        <v>5357.2</v>
      </c>
    </row>
    <row r="106" spans="1:4" s="30" customFormat="1" x14ac:dyDescent="0.25">
      <c r="A106" s="170" t="s">
        <v>2</v>
      </c>
      <c r="B106" s="369" t="s">
        <v>152</v>
      </c>
      <c r="C106" s="369"/>
      <c r="D106" s="211">
        <f>D53</f>
        <v>3396.14</v>
      </c>
    </row>
    <row r="107" spans="1:4" s="30" customFormat="1" x14ac:dyDescent="0.25">
      <c r="A107" s="170" t="s">
        <v>3</v>
      </c>
      <c r="B107" s="369" t="s">
        <v>150</v>
      </c>
      <c r="C107" s="369"/>
      <c r="D107" s="211">
        <f>D61</f>
        <v>386.25</v>
      </c>
    </row>
    <row r="108" spans="1:4" s="30" customFormat="1" x14ac:dyDescent="0.25">
      <c r="A108" s="170" t="s">
        <v>5</v>
      </c>
      <c r="B108" s="369" t="s">
        <v>143</v>
      </c>
      <c r="C108" s="369"/>
      <c r="D108" s="211">
        <f>D82</f>
        <v>255.02</v>
      </c>
    </row>
    <row r="109" spans="1:4" s="30" customFormat="1" x14ac:dyDescent="0.25">
      <c r="A109" s="170" t="s">
        <v>20</v>
      </c>
      <c r="B109" s="369" t="s">
        <v>151</v>
      </c>
      <c r="C109" s="369"/>
      <c r="D109" s="211">
        <f>D89</f>
        <v>839.65</v>
      </c>
    </row>
    <row r="110" spans="1:4" s="30" customFormat="1" ht="15.75" customHeight="1" x14ac:dyDescent="0.25">
      <c r="A110" s="370" t="s">
        <v>289</v>
      </c>
      <c r="B110" s="364"/>
      <c r="C110" s="364"/>
      <c r="D110" s="223">
        <f>SUM(D105:D109)</f>
        <v>10234.26</v>
      </c>
    </row>
    <row r="111" spans="1:4" s="30" customFormat="1" x14ac:dyDescent="0.25">
      <c r="A111" s="170" t="s">
        <v>21</v>
      </c>
      <c r="B111" s="369" t="s">
        <v>154</v>
      </c>
      <c r="C111" s="369"/>
      <c r="D111" s="211">
        <f>+D103</f>
        <v>3550.66</v>
      </c>
    </row>
    <row r="112" spans="1:4" s="30" customFormat="1" ht="16.5" customHeight="1" thickBot="1" x14ac:dyDescent="0.3">
      <c r="A112" s="353" t="s">
        <v>46</v>
      </c>
      <c r="B112" s="354"/>
      <c r="C112" s="354"/>
      <c r="D112" s="241">
        <f>+D110+D111</f>
        <v>13784.92</v>
      </c>
    </row>
    <row r="113" spans="2:3" x14ac:dyDescent="0.25">
      <c r="C113" s="31"/>
    </row>
    <row r="114" spans="2:3" x14ac:dyDescent="0.25">
      <c r="B114" s="28"/>
      <c r="C114" s="31"/>
    </row>
    <row r="115" spans="2:3" x14ac:dyDescent="0.25">
      <c r="B115" s="28"/>
      <c r="C115" s="31"/>
    </row>
    <row r="116" spans="2:3" x14ac:dyDescent="0.25">
      <c r="B116" s="28"/>
      <c r="C116" s="29"/>
    </row>
    <row r="117" spans="2:3" x14ac:dyDescent="0.25">
      <c r="B117" s="28"/>
      <c r="C117" s="31"/>
    </row>
    <row r="119" spans="2:3" x14ac:dyDescent="0.25">
      <c r="B119" s="36"/>
    </row>
    <row r="124" spans="2:3" x14ac:dyDescent="0.25">
      <c r="B124" s="28"/>
    </row>
  </sheetData>
  <mergeCells count="61">
    <mergeCell ref="C6:D6"/>
    <mergeCell ref="A1:D1"/>
    <mergeCell ref="A2:D2"/>
    <mergeCell ref="A3:D3"/>
    <mergeCell ref="C4:D4"/>
    <mergeCell ref="C5:D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B55:C55"/>
    <mergeCell ref="A26:C26"/>
    <mergeCell ref="B27:C27"/>
    <mergeCell ref="A30:B30"/>
    <mergeCell ref="A31:D31"/>
    <mergeCell ref="B32:C32"/>
    <mergeCell ref="A41:B41"/>
    <mergeCell ref="B42:C42"/>
    <mergeCell ref="A48:C48"/>
    <mergeCell ref="A49:D49"/>
    <mergeCell ref="A53:C53"/>
    <mergeCell ref="A54:D54"/>
    <mergeCell ref="A61:B61"/>
    <mergeCell ref="A104:C104"/>
    <mergeCell ref="B84:C84"/>
    <mergeCell ref="B85:C85"/>
    <mergeCell ref="B86:C86"/>
    <mergeCell ref="B87:C87"/>
    <mergeCell ref="B88:C88"/>
    <mergeCell ref="A89:C89"/>
    <mergeCell ref="A90:C90"/>
    <mergeCell ref="A91:D91"/>
    <mergeCell ref="B92:C92"/>
    <mergeCell ref="A103:C103"/>
    <mergeCell ref="A83:D83"/>
    <mergeCell ref="A81:B81"/>
    <mergeCell ref="A82:C82"/>
    <mergeCell ref="B73:C73"/>
    <mergeCell ref="A62:D62"/>
    <mergeCell ref="B63:C63"/>
    <mergeCell ref="A71:B71"/>
    <mergeCell ref="B111:C111"/>
    <mergeCell ref="A112:C112"/>
    <mergeCell ref="B105:C105"/>
    <mergeCell ref="B106:C106"/>
    <mergeCell ref="B107:C107"/>
    <mergeCell ref="B108:C108"/>
    <mergeCell ref="B109:C109"/>
    <mergeCell ref="A110:C110"/>
    <mergeCell ref="A76:D76"/>
    <mergeCell ref="A77:D77"/>
    <mergeCell ref="B78:C78"/>
    <mergeCell ref="A75:B75"/>
  </mergeCells>
  <hyperlinks>
    <hyperlink ref="B38" r:id="rId1" display="08 - Sebrae 0,3% ou 0,6% - IN nº 03, MPS/SRP/2005, Anexo II e III ver código da Tabela" xr:uid="{00000000-0004-0000-07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125"/>
  <sheetViews>
    <sheetView view="pageBreakPreview" topLeftCell="A96" zoomScaleNormal="115" zoomScaleSheetLayoutView="100" workbookViewId="0">
      <selection activeCell="D11" sqref="D1:D104857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377"/>
      <c r="B1" s="378"/>
      <c r="C1" s="378"/>
      <c r="D1" s="379"/>
    </row>
    <row r="2" spans="1:4" s="38" customFormat="1" ht="16.5" customHeight="1" x14ac:dyDescent="0.25">
      <c r="A2" s="350" t="s">
        <v>127</v>
      </c>
      <c r="B2" s="351"/>
      <c r="C2" s="351"/>
      <c r="D2" s="352"/>
    </row>
    <row r="3" spans="1:4" s="38" customFormat="1" x14ac:dyDescent="0.25">
      <c r="A3" s="347" t="s">
        <v>126</v>
      </c>
      <c r="B3" s="348"/>
      <c r="C3" s="348"/>
      <c r="D3" s="349"/>
    </row>
    <row r="4" spans="1:4" s="38" customFormat="1" ht="15" customHeight="1" x14ac:dyDescent="0.25">
      <c r="A4" s="76" t="s">
        <v>0</v>
      </c>
      <c r="B4" s="267" t="s">
        <v>1</v>
      </c>
      <c r="C4" s="385">
        <v>2025</v>
      </c>
      <c r="D4" s="386"/>
    </row>
    <row r="5" spans="1:4" s="38" customFormat="1" ht="75" customHeight="1" x14ac:dyDescent="0.25">
      <c r="A5" s="76" t="s">
        <v>2</v>
      </c>
      <c r="B5" s="267" t="s">
        <v>135</v>
      </c>
      <c r="C5" s="387" t="s">
        <v>248</v>
      </c>
      <c r="D5" s="388"/>
    </row>
    <row r="6" spans="1:4" s="38" customFormat="1" ht="15.75" customHeight="1" x14ac:dyDescent="0.25">
      <c r="A6" s="76" t="s">
        <v>3</v>
      </c>
      <c r="B6" s="267" t="s">
        <v>4</v>
      </c>
      <c r="C6" s="387" t="s">
        <v>254</v>
      </c>
      <c r="D6" s="388"/>
    </row>
    <row r="7" spans="1:4" s="38" customFormat="1" x14ac:dyDescent="0.25">
      <c r="A7" s="76" t="s">
        <v>5</v>
      </c>
      <c r="B7" s="267" t="s">
        <v>295</v>
      </c>
      <c r="C7" s="387">
        <v>12</v>
      </c>
      <c r="D7" s="388"/>
    </row>
    <row r="8" spans="1:4" s="38" customFormat="1" x14ac:dyDescent="0.25">
      <c r="A8" s="347" t="s">
        <v>6</v>
      </c>
      <c r="B8" s="348"/>
      <c r="C8" s="348"/>
      <c r="D8" s="349"/>
    </row>
    <row r="9" spans="1:4" s="38" customFormat="1" x14ac:dyDescent="0.25">
      <c r="A9" s="347" t="s">
        <v>7</v>
      </c>
      <c r="B9" s="348"/>
      <c r="C9" s="348"/>
      <c r="D9" s="349"/>
    </row>
    <row r="10" spans="1:4" s="38" customFormat="1" ht="15.75" customHeight="1" x14ac:dyDescent="0.25">
      <c r="A10" s="347" t="s">
        <v>8</v>
      </c>
      <c r="B10" s="348"/>
      <c r="C10" s="348"/>
      <c r="D10" s="349"/>
    </row>
    <row r="11" spans="1:4" s="38" customFormat="1" ht="30" customHeight="1" x14ac:dyDescent="0.25">
      <c r="A11" s="389" t="s">
        <v>9</v>
      </c>
      <c r="B11" s="390"/>
      <c r="C11" s="390"/>
      <c r="D11" s="281"/>
    </row>
    <row r="12" spans="1:4" s="38" customFormat="1" ht="60" customHeight="1" x14ac:dyDescent="0.25">
      <c r="A12" s="76">
        <v>1</v>
      </c>
      <c r="B12" s="255" t="s">
        <v>128</v>
      </c>
      <c r="C12" s="380" t="s">
        <v>249</v>
      </c>
      <c r="D12" s="381"/>
    </row>
    <row r="13" spans="1:4" s="38" customFormat="1" ht="30" customHeight="1" x14ac:dyDescent="0.25">
      <c r="A13" s="76">
        <v>2</v>
      </c>
      <c r="B13" s="255" t="s">
        <v>11</v>
      </c>
      <c r="C13" s="392">
        <v>4750</v>
      </c>
      <c r="D13" s="393"/>
    </row>
    <row r="14" spans="1:4" s="38" customFormat="1" ht="15.75" customHeight="1" x14ac:dyDescent="0.25">
      <c r="A14" s="76">
        <v>3</v>
      </c>
      <c r="B14" s="255" t="s">
        <v>12</v>
      </c>
      <c r="C14" s="380" t="s">
        <v>222</v>
      </c>
      <c r="D14" s="381"/>
    </row>
    <row r="15" spans="1:4" s="38" customFormat="1" x14ac:dyDescent="0.25">
      <c r="A15" s="76">
        <v>4</v>
      </c>
      <c r="B15" s="154" t="s">
        <v>13</v>
      </c>
      <c r="C15" s="383">
        <v>2025</v>
      </c>
      <c r="D15" s="384"/>
    </row>
    <row r="16" spans="1:4" s="39" customFormat="1" ht="30" customHeight="1" x14ac:dyDescent="0.25">
      <c r="A16" s="345" t="s">
        <v>14</v>
      </c>
      <c r="B16" s="346"/>
      <c r="C16" s="346"/>
      <c r="D16" s="150" t="s">
        <v>247</v>
      </c>
    </row>
    <row r="17" spans="1:4" s="39" customFormat="1" x14ac:dyDescent="0.25">
      <c r="A17" s="268">
        <v>1</v>
      </c>
      <c r="B17" s="363" t="s">
        <v>15</v>
      </c>
      <c r="C17" s="363"/>
      <c r="D17" s="152" t="s">
        <v>10</v>
      </c>
    </row>
    <row r="18" spans="1:4" s="38" customFormat="1" ht="15.75" customHeight="1" x14ac:dyDescent="0.25">
      <c r="A18" s="153" t="s">
        <v>0</v>
      </c>
      <c r="B18" s="154" t="s">
        <v>16</v>
      </c>
      <c r="C18" s="69"/>
      <c r="D18" s="155">
        <f>C13</f>
        <v>4750</v>
      </c>
    </row>
    <row r="19" spans="1:4" s="38" customFormat="1" ht="15.75" customHeight="1" x14ac:dyDescent="0.25">
      <c r="A19" s="153" t="s">
        <v>2</v>
      </c>
      <c r="B19" s="154" t="s">
        <v>17</v>
      </c>
      <c r="C19" s="156"/>
      <c r="D19" s="193"/>
    </row>
    <row r="20" spans="1:4" s="38" customFormat="1" ht="15.75" customHeight="1" x14ac:dyDescent="0.25">
      <c r="A20" s="153" t="s">
        <v>3</v>
      </c>
      <c r="B20" s="154" t="s">
        <v>18</v>
      </c>
      <c r="C20" s="159">
        <v>1518</v>
      </c>
      <c r="D20" s="193">
        <f>40%*C20</f>
        <v>607.20000000000005</v>
      </c>
    </row>
    <row r="21" spans="1:4" s="38" customFormat="1" ht="15.75" customHeight="1" x14ac:dyDescent="0.25">
      <c r="A21" s="153" t="s">
        <v>5</v>
      </c>
      <c r="B21" s="154" t="s">
        <v>19</v>
      </c>
      <c r="C21" s="156"/>
      <c r="D21" s="193">
        <f>((((D18+D20)/220)*20%)*8)*15.21</f>
        <v>592.6</v>
      </c>
    </row>
    <row r="22" spans="1:4" s="38" customFormat="1" ht="15.75" customHeight="1" x14ac:dyDescent="0.25">
      <c r="A22" s="153" t="s">
        <v>20</v>
      </c>
      <c r="B22" s="154" t="s">
        <v>196</v>
      </c>
      <c r="C22" s="156"/>
      <c r="D22" s="193"/>
    </row>
    <row r="23" spans="1:4" s="38" customFormat="1" x14ac:dyDescent="0.25">
      <c r="A23" s="153" t="s">
        <v>21</v>
      </c>
      <c r="B23" s="154" t="s">
        <v>133</v>
      </c>
      <c r="C23" s="162"/>
      <c r="D23" s="193"/>
    </row>
    <row r="24" spans="1:4" s="38" customFormat="1" ht="15.75" customHeight="1" x14ac:dyDescent="0.25">
      <c r="A24" s="153" t="s">
        <v>22</v>
      </c>
      <c r="B24" s="274" t="s">
        <v>134</v>
      </c>
      <c r="C24" s="162"/>
      <c r="D24" s="193"/>
    </row>
    <row r="25" spans="1:4" s="39" customFormat="1" ht="15.75" customHeight="1" x14ac:dyDescent="0.25">
      <c r="A25" s="341" t="s">
        <v>145</v>
      </c>
      <c r="B25" s="342"/>
      <c r="C25" s="342"/>
      <c r="D25" s="213">
        <f>SUM(D18:D24)</f>
        <v>5949.8</v>
      </c>
    </row>
    <row r="26" spans="1:4" s="39" customFormat="1" x14ac:dyDescent="0.25">
      <c r="A26" s="345" t="s">
        <v>48</v>
      </c>
      <c r="B26" s="346"/>
      <c r="C26" s="346"/>
      <c r="D26" s="404"/>
    </row>
    <row r="27" spans="1:4" s="38" customFormat="1" x14ac:dyDescent="0.25">
      <c r="A27" s="273" t="s">
        <v>136</v>
      </c>
      <c r="B27" s="337" t="s">
        <v>197</v>
      </c>
      <c r="C27" s="355"/>
      <c r="D27" s="169" t="s">
        <v>10</v>
      </c>
    </row>
    <row r="28" spans="1:4" s="38" customFormat="1" x14ac:dyDescent="0.25">
      <c r="A28" s="170" t="s">
        <v>0</v>
      </c>
      <c r="B28" s="272" t="s">
        <v>28</v>
      </c>
      <c r="C28" s="172">
        <f>1/12</f>
        <v>8.3299999999999999E-2</v>
      </c>
      <c r="D28" s="211">
        <f>(D25)*C28</f>
        <v>495.62</v>
      </c>
    </row>
    <row r="29" spans="1:4" s="38" customFormat="1" x14ac:dyDescent="0.25">
      <c r="A29" s="170" t="s">
        <v>2</v>
      </c>
      <c r="B29" s="272" t="s">
        <v>141</v>
      </c>
      <c r="C29" s="172">
        <v>0.1111</v>
      </c>
      <c r="D29" s="211">
        <f>(D25)*C29</f>
        <v>661.02</v>
      </c>
    </row>
    <row r="30" spans="1:4" x14ac:dyDescent="0.25">
      <c r="A30" s="361" t="s">
        <v>27</v>
      </c>
      <c r="B30" s="362"/>
      <c r="C30" s="175">
        <f>SUM(C28:C29)</f>
        <v>0.19439999999999999</v>
      </c>
      <c r="D30" s="59">
        <f>SUM(D28:D29)</f>
        <v>1156.6400000000001</v>
      </c>
    </row>
    <row r="31" spans="1:4" ht="32.25" customHeight="1" x14ac:dyDescent="0.25">
      <c r="A31" s="358" t="s">
        <v>182</v>
      </c>
      <c r="B31" s="359"/>
      <c r="C31" s="359"/>
      <c r="D31" s="360"/>
    </row>
    <row r="32" spans="1:4" x14ac:dyDescent="0.25">
      <c r="A32" s="270" t="s">
        <v>136</v>
      </c>
      <c r="B32" s="340" t="s">
        <v>25</v>
      </c>
      <c r="C32" s="396"/>
      <c r="D32" s="215" t="s">
        <v>10</v>
      </c>
    </row>
    <row r="33" spans="1:4" x14ac:dyDescent="0.25">
      <c r="A33" s="170" t="s">
        <v>0</v>
      </c>
      <c r="B33" s="179" t="s">
        <v>296</v>
      </c>
      <c r="C33" s="172">
        <v>0.2</v>
      </c>
      <c r="D33" s="211">
        <f t="shared" ref="D33:D40" si="0">($D$25+D$30)*C33</f>
        <v>1421.29</v>
      </c>
    </row>
    <row r="34" spans="1:4" x14ac:dyDescent="0.25">
      <c r="A34" s="170" t="s">
        <v>2</v>
      </c>
      <c r="B34" s="179" t="s">
        <v>297</v>
      </c>
      <c r="C34" s="180">
        <v>2.5000000000000001E-2</v>
      </c>
      <c r="D34" s="211">
        <f t="shared" si="0"/>
        <v>177.66</v>
      </c>
    </row>
    <row r="35" spans="1:4" ht="45" x14ac:dyDescent="0.25">
      <c r="A35" s="170" t="s">
        <v>3</v>
      </c>
      <c r="B35" s="271" t="s">
        <v>298</v>
      </c>
      <c r="C35" s="180">
        <v>0.03</v>
      </c>
      <c r="D35" s="211">
        <f t="shared" si="0"/>
        <v>213.19</v>
      </c>
    </row>
    <row r="36" spans="1:4" x14ac:dyDescent="0.25">
      <c r="A36" s="170" t="s">
        <v>5</v>
      </c>
      <c r="B36" s="179" t="s">
        <v>299</v>
      </c>
      <c r="C36" s="180">
        <v>1.4999999999999999E-2</v>
      </c>
      <c r="D36" s="211">
        <f t="shared" si="0"/>
        <v>106.6</v>
      </c>
    </row>
    <row r="37" spans="1:4" x14ac:dyDescent="0.25">
      <c r="A37" s="170" t="s">
        <v>20</v>
      </c>
      <c r="B37" s="179" t="s">
        <v>300</v>
      </c>
      <c r="C37" s="180">
        <v>0.01</v>
      </c>
      <c r="D37" s="211">
        <f t="shared" si="0"/>
        <v>71.06</v>
      </c>
    </row>
    <row r="38" spans="1:4" x14ac:dyDescent="0.25">
      <c r="A38" s="170" t="s">
        <v>21</v>
      </c>
      <c r="B38" s="181" t="s">
        <v>200</v>
      </c>
      <c r="C38" s="180">
        <v>6.0000000000000001E-3</v>
      </c>
      <c r="D38" s="211">
        <f t="shared" si="0"/>
        <v>42.64</v>
      </c>
    </row>
    <row r="39" spans="1:4" ht="30" x14ac:dyDescent="0.25">
      <c r="A39" s="170" t="s">
        <v>22</v>
      </c>
      <c r="B39" s="271" t="s">
        <v>301</v>
      </c>
      <c r="C39" s="180">
        <v>2E-3</v>
      </c>
      <c r="D39" s="211">
        <f t="shared" si="0"/>
        <v>14.21</v>
      </c>
    </row>
    <row r="40" spans="1:4" x14ac:dyDescent="0.25">
      <c r="A40" s="170" t="s">
        <v>26</v>
      </c>
      <c r="B40" s="182" t="s">
        <v>199</v>
      </c>
      <c r="C40" s="180">
        <v>0.08</v>
      </c>
      <c r="D40" s="211">
        <f t="shared" si="0"/>
        <v>568.52</v>
      </c>
    </row>
    <row r="41" spans="1:4" s="30" customFormat="1" x14ac:dyDescent="0.25">
      <c r="A41" s="361" t="s">
        <v>27</v>
      </c>
      <c r="B41" s="362"/>
      <c r="C41" s="183">
        <f>SUM(C33:C40)</f>
        <v>0.36799999999999999</v>
      </c>
      <c r="D41" s="59">
        <f>SUM(D33:D40)</f>
        <v>2615.17</v>
      </c>
    </row>
    <row r="42" spans="1:4" s="30" customFormat="1" x14ac:dyDescent="0.25">
      <c r="A42" s="343" t="s">
        <v>166</v>
      </c>
      <c r="B42" s="344"/>
      <c r="C42" s="344"/>
      <c r="D42" s="405"/>
    </row>
    <row r="43" spans="1:4" s="30" customFormat="1" x14ac:dyDescent="0.25">
      <c r="A43" s="186" t="s">
        <v>202</v>
      </c>
      <c r="B43" s="397" t="s">
        <v>203</v>
      </c>
      <c r="C43" s="398"/>
      <c r="D43" s="277"/>
    </row>
    <row r="44" spans="1:4" s="30" customFormat="1" x14ac:dyDescent="0.25">
      <c r="A44" s="189" t="s">
        <v>0</v>
      </c>
      <c r="B44" s="190" t="s">
        <v>137</v>
      </c>
      <c r="C44" s="191"/>
      <c r="D44" s="232">
        <v>0</v>
      </c>
    </row>
    <row r="45" spans="1:4" s="30" customFormat="1" x14ac:dyDescent="0.25">
      <c r="A45" s="194" t="s">
        <v>2</v>
      </c>
      <c r="B45" s="274" t="s">
        <v>183</v>
      </c>
      <c r="C45" s="160"/>
      <c r="D45" s="232">
        <v>0</v>
      </c>
    </row>
    <row r="46" spans="1:4" s="30" customFormat="1" x14ac:dyDescent="0.25">
      <c r="A46" s="170" t="s">
        <v>3</v>
      </c>
      <c r="B46" s="272" t="s">
        <v>129</v>
      </c>
      <c r="C46" s="173"/>
      <c r="D46" s="232">
        <v>0</v>
      </c>
    </row>
    <row r="47" spans="1:4" s="30" customFormat="1" x14ac:dyDescent="0.25">
      <c r="A47" s="170" t="s">
        <v>5</v>
      </c>
      <c r="B47" s="272" t="s">
        <v>130</v>
      </c>
      <c r="C47" s="172"/>
      <c r="D47" s="232">
        <v>0</v>
      </c>
    </row>
    <row r="48" spans="1:4" s="30" customFormat="1" x14ac:dyDescent="0.25">
      <c r="A48" s="170" t="s">
        <v>20</v>
      </c>
      <c r="B48" s="272" t="s">
        <v>131</v>
      </c>
      <c r="C48" s="173"/>
      <c r="D48" s="232">
        <v>0</v>
      </c>
    </row>
    <row r="49" spans="1:4" s="30" customFormat="1" ht="15.75" customHeight="1" x14ac:dyDescent="0.25">
      <c r="A49" s="361" t="s">
        <v>23</v>
      </c>
      <c r="B49" s="362"/>
      <c r="C49" s="362"/>
      <c r="D49" s="59">
        <f>SUM(D44:D48)</f>
        <v>0</v>
      </c>
    </row>
    <row r="50" spans="1:4" s="30" customFormat="1" ht="15.75" customHeight="1" x14ac:dyDescent="0.25">
      <c r="A50" s="343" t="s">
        <v>210</v>
      </c>
      <c r="B50" s="344"/>
      <c r="C50" s="344"/>
      <c r="D50" s="405"/>
    </row>
    <row r="51" spans="1:4" s="30" customFormat="1" ht="15.75" customHeight="1" x14ac:dyDescent="0.25">
      <c r="A51" s="268" t="s">
        <v>136</v>
      </c>
      <c r="B51" s="200" t="s">
        <v>138</v>
      </c>
      <c r="C51" s="269"/>
      <c r="D51" s="204">
        <f>D30</f>
        <v>1156.6400000000001</v>
      </c>
    </row>
    <row r="52" spans="1:4" s="30" customFormat="1" ht="15.75" customHeight="1" x14ac:dyDescent="0.25">
      <c r="A52" s="268" t="s">
        <v>201</v>
      </c>
      <c r="B52" s="200" t="s">
        <v>139</v>
      </c>
      <c r="C52" s="269"/>
      <c r="D52" s="204">
        <f>D41</f>
        <v>2615.17</v>
      </c>
    </row>
    <row r="53" spans="1:4" s="30" customFormat="1" ht="15.75" customHeight="1" x14ac:dyDescent="0.25">
      <c r="A53" s="268" t="s">
        <v>202</v>
      </c>
      <c r="B53" s="200" t="s">
        <v>140</v>
      </c>
      <c r="C53" s="269"/>
      <c r="D53" s="204">
        <f>D49</f>
        <v>0</v>
      </c>
    </row>
    <row r="54" spans="1:4" s="30" customFormat="1" ht="15.75" customHeight="1" x14ac:dyDescent="0.25">
      <c r="A54" s="341" t="s">
        <v>146</v>
      </c>
      <c r="B54" s="342"/>
      <c r="C54" s="342"/>
      <c r="D54" s="213">
        <f>SUM(D51:D53)</f>
        <v>3771.81</v>
      </c>
    </row>
    <row r="55" spans="1:4" s="30" customFormat="1" ht="15.75" customHeight="1" x14ac:dyDescent="0.25">
      <c r="A55" s="345" t="s">
        <v>155</v>
      </c>
      <c r="B55" s="346"/>
      <c r="C55" s="346"/>
      <c r="D55" s="404"/>
    </row>
    <row r="56" spans="1:4" s="30" customFormat="1" ht="15.75" customHeight="1" x14ac:dyDescent="0.25">
      <c r="A56" s="273" t="s">
        <v>192</v>
      </c>
      <c r="B56" s="364" t="s">
        <v>32</v>
      </c>
      <c r="C56" s="410"/>
      <c r="D56" s="169" t="s">
        <v>10</v>
      </c>
    </row>
    <row r="57" spans="1:4" s="30" customFormat="1" ht="15.75" customHeight="1" x14ac:dyDescent="0.25">
      <c r="A57" s="170" t="s">
        <v>0</v>
      </c>
      <c r="B57" s="272" t="s">
        <v>33</v>
      </c>
      <c r="C57" s="172">
        <v>4.5999999999999999E-3</v>
      </c>
      <c r="D57" s="211">
        <f>D$25*C57</f>
        <v>27.37</v>
      </c>
    </row>
    <row r="58" spans="1:4" s="30" customFormat="1" ht="15.75" customHeight="1" x14ac:dyDescent="0.25">
      <c r="A58" s="170" t="s">
        <v>2</v>
      </c>
      <c r="B58" s="272" t="s">
        <v>34</v>
      </c>
      <c r="C58" s="172">
        <v>4.0000000000000002E-4</v>
      </c>
      <c r="D58" s="211">
        <f>D$25*C58</f>
        <v>2.38</v>
      </c>
    </row>
    <row r="59" spans="1:4" s="30" customFormat="1" ht="15.75" customHeight="1" x14ac:dyDescent="0.25">
      <c r="A59" s="170" t="s">
        <v>3</v>
      </c>
      <c r="B59" s="179" t="s">
        <v>35</v>
      </c>
      <c r="C59" s="172">
        <v>1.9400000000000001E-2</v>
      </c>
      <c r="D59" s="211">
        <f>D$25*C59</f>
        <v>115.43</v>
      </c>
    </row>
    <row r="60" spans="1:4" s="30" customFormat="1" ht="30.75" customHeight="1" x14ac:dyDescent="0.25">
      <c r="A60" s="170" t="s">
        <v>5</v>
      </c>
      <c r="B60" s="272" t="s">
        <v>304</v>
      </c>
      <c r="C60" s="172">
        <v>7.7000000000000002E-3</v>
      </c>
      <c r="D60" s="211">
        <f>D$25*C60</f>
        <v>45.81</v>
      </c>
    </row>
    <row r="61" spans="1:4" s="30" customFormat="1" ht="15.75" customHeight="1" x14ac:dyDescent="0.25">
      <c r="A61" s="170" t="s">
        <v>20</v>
      </c>
      <c r="B61" s="272" t="s">
        <v>142</v>
      </c>
      <c r="C61" s="172">
        <v>0.04</v>
      </c>
      <c r="D61" s="211">
        <f>D$25*C61</f>
        <v>237.99</v>
      </c>
    </row>
    <row r="62" spans="1:4" s="30" customFormat="1" ht="15.75" customHeight="1" x14ac:dyDescent="0.25">
      <c r="A62" s="341" t="s">
        <v>147</v>
      </c>
      <c r="B62" s="342"/>
      <c r="C62" s="280">
        <f>SUM(C57:C61)</f>
        <v>7.2099999999999997E-2</v>
      </c>
      <c r="D62" s="213">
        <f>SUM(D57:D61)</f>
        <v>428.98</v>
      </c>
    </row>
    <row r="63" spans="1:4" s="30" customFormat="1" x14ac:dyDescent="0.25">
      <c r="A63" s="345" t="s">
        <v>156</v>
      </c>
      <c r="B63" s="346"/>
      <c r="C63" s="346"/>
      <c r="D63" s="404"/>
    </row>
    <row r="64" spans="1:4" s="30" customFormat="1" x14ac:dyDescent="0.25">
      <c r="A64" s="273" t="s">
        <v>191</v>
      </c>
      <c r="B64" s="403" t="s">
        <v>190</v>
      </c>
      <c r="C64" s="403"/>
      <c r="D64" s="169" t="s">
        <v>10</v>
      </c>
    </row>
    <row r="65" spans="1:4" s="30" customFormat="1" x14ac:dyDescent="0.25">
      <c r="A65" s="170" t="s">
        <v>0</v>
      </c>
      <c r="B65" s="278" t="s">
        <v>184</v>
      </c>
      <c r="C65" s="172">
        <f>C29/12</f>
        <v>9.2999999999999992E-3</v>
      </c>
      <c r="D65" s="211">
        <f t="shared" ref="D65:D71" si="1">(D$25+D$54+D$62+D$86)*C65</f>
        <v>94.72</v>
      </c>
    </row>
    <row r="66" spans="1:4" s="30" customFormat="1" x14ac:dyDescent="0.25">
      <c r="A66" s="170" t="s">
        <v>2</v>
      </c>
      <c r="B66" s="278" t="s">
        <v>185</v>
      </c>
      <c r="C66" s="172">
        <v>1.3899999999999999E-2</v>
      </c>
      <c r="D66" s="211">
        <f t="shared" si="1"/>
        <v>141.56</v>
      </c>
    </row>
    <row r="67" spans="1:4" s="30" customFormat="1" x14ac:dyDescent="0.25">
      <c r="A67" s="170" t="s">
        <v>3</v>
      </c>
      <c r="B67" s="278" t="s">
        <v>188</v>
      </c>
      <c r="C67" s="172">
        <v>1.2999999999999999E-3</v>
      </c>
      <c r="D67" s="211">
        <f t="shared" si="1"/>
        <v>13.24</v>
      </c>
    </row>
    <row r="68" spans="1:4" s="30" customFormat="1" x14ac:dyDescent="0.25">
      <c r="A68" s="170" t="s">
        <v>5</v>
      </c>
      <c r="B68" s="278" t="s">
        <v>186</v>
      </c>
      <c r="C68" s="172">
        <v>2.0000000000000001E-4</v>
      </c>
      <c r="D68" s="211">
        <f t="shared" si="1"/>
        <v>2.04</v>
      </c>
    </row>
    <row r="69" spans="1:4" s="30" customFormat="1" x14ac:dyDescent="0.25">
      <c r="A69" s="170" t="s">
        <v>20</v>
      </c>
      <c r="B69" s="278" t="s">
        <v>291</v>
      </c>
      <c r="C69" s="172">
        <v>2.8E-3</v>
      </c>
      <c r="D69" s="211">
        <f t="shared" si="1"/>
        <v>28.52</v>
      </c>
    </row>
    <row r="70" spans="1:4" s="30" customFormat="1" x14ac:dyDescent="0.25">
      <c r="A70" s="170" t="s">
        <v>21</v>
      </c>
      <c r="B70" s="278" t="s">
        <v>187</v>
      </c>
      <c r="C70" s="172">
        <v>2.9999999999999997E-4</v>
      </c>
      <c r="D70" s="211">
        <f t="shared" si="1"/>
        <v>3.06</v>
      </c>
    </row>
    <row r="71" spans="1:4" s="30" customFormat="1" ht="15.75" customHeight="1" x14ac:dyDescent="0.25">
      <c r="A71" s="170" t="s">
        <v>22</v>
      </c>
      <c r="B71" s="272" t="s">
        <v>189</v>
      </c>
      <c r="C71" s="172">
        <v>0</v>
      </c>
      <c r="D71" s="211">
        <f t="shared" si="1"/>
        <v>0</v>
      </c>
    </row>
    <row r="72" spans="1:4" s="30" customFormat="1" x14ac:dyDescent="0.25">
      <c r="A72" s="361" t="s">
        <v>29</v>
      </c>
      <c r="B72" s="362"/>
      <c r="C72" s="183">
        <f>SUM(C65:C71)</f>
        <v>2.7799999999999998E-2</v>
      </c>
      <c r="D72" s="59">
        <f>SUM(D65:D71)</f>
        <v>283.14</v>
      </c>
    </row>
    <row r="73" spans="1:4" s="30" customFormat="1" x14ac:dyDescent="0.25">
      <c r="A73" s="268"/>
      <c r="B73" s="269"/>
      <c r="C73" s="201"/>
      <c r="D73" s="155"/>
    </row>
    <row r="74" spans="1:4" s="30" customFormat="1" x14ac:dyDescent="0.25">
      <c r="A74" s="268"/>
      <c r="B74" s="390" t="s">
        <v>193</v>
      </c>
      <c r="C74" s="411"/>
      <c r="D74" s="169" t="s">
        <v>10</v>
      </c>
    </row>
    <row r="75" spans="1:4" s="30" customFormat="1" x14ac:dyDescent="0.25">
      <c r="A75" s="170" t="s">
        <v>0</v>
      </c>
      <c r="B75" s="272" t="s">
        <v>194</v>
      </c>
      <c r="C75" s="172">
        <v>0</v>
      </c>
      <c r="D75" s="211">
        <f>(D$25+D$54+D$62)*C75</f>
        <v>0</v>
      </c>
    </row>
    <row r="76" spans="1:4" s="30" customFormat="1" ht="15.75" customHeight="1" x14ac:dyDescent="0.25">
      <c r="A76" s="361" t="s">
        <v>27</v>
      </c>
      <c r="B76" s="362"/>
      <c r="C76" s="205">
        <f>C75</f>
        <v>0</v>
      </c>
      <c r="D76" s="59">
        <f>D75</f>
        <v>0</v>
      </c>
    </row>
    <row r="77" spans="1:4" s="30" customFormat="1" ht="15.75" customHeight="1" x14ac:dyDescent="0.25">
      <c r="A77" s="343" t="s">
        <v>30</v>
      </c>
      <c r="B77" s="344"/>
      <c r="C77" s="344"/>
      <c r="D77" s="405"/>
    </row>
    <row r="78" spans="1:4" s="30" customFormat="1" ht="15.75" customHeight="1" x14ac:dyDescent="0.25">
      <c r="A78" s="399" t="s">
        <v>195</v>
      </c>
      <c r="B78" s="400"/>
      <c r="C78" s="400"/>
      <c r="D78" s="406"/>
    </row>
    <row r="79" spans="1:4" s="30" customFormat="1" ht="15.75" customHeight="1" x14ac:dyDescent="0.25">
      <c r="A79" s="273">
        <v>4</v>
      </c>
      <c r="B79" s="337" t="s">
        <v>31</v>
      </c>
      <c r="C79" s="338"/>
      <c r="D79" s="169" t="s">
        <v>10</v>
      </c>
    </row>
    <row r="80" spans="1:4" s="30" customFormat="1" ht="15.75" customHeight="1" x14ac:dyDescent="0.25">
      <c r="A80" s="170" t="s">
        <v>191</v>
      </c>
      <c r="B80" s="272" t="s">
        <v>190</v>
      </c>
      <c r="C80" s="172">
        <f>C72</f>
        <v>2.7799999999999998E-2</v>
      </c>
      <c r="D80" s="211">
        <f>D72</f>
        <v>283.14</v>
      </c>
    </row>
    <row r="81" spans="1:4" s="30" customFormat="1" ht="15.75" customHeight="1" x14ac:dyDescent="0.25">
      <c r="A81" s="170" t="s">
        <v>207</v>
      </c>
      <c r="B81" s="272" t="s">
        <v>193</v>
      </c>
      <c r="C81" s="172">
        <v>0</v>
      </c>
      <c r="D81" s="211">
        <f>(D$25+D$54+D$62)*C81</f>
        <v>0</v>
      </c>
    </row>
    <row r="82" spans="1:4" s="30" customFormat="1" ht="15.75" customHeight="1" x14ac:dyDescent="0.25">
      <c r="A82" s="361" t="s">
        <v>27</v>
      </c>
      <c r="B82" s="362"/>
      <c r="C82" s="175">
        <f>SUM(C80:C81)</f>
        <v>2.7799999999999998E-2</v>
      </c>
      <c r="D82" s="59">
        <f>SUM(D80:D81)</f>
        <v>283.14</v>
      </c>
    </row>
    <row r="83" spans="1:4" s="30" customFormat="1" ht="15.75" customHeight="1" x14ac:dyDescent="0.25">
      <c r="A83" s="341" t="s">
        <v>148</v>
      </c>
      <c r="B83" s="342"/>
      <c r="C83" s="342"/>
      <c r="D83" s="213">
        <f>SUM(D76+D82)</f>
        <v>283.14</v>
      </c>
    </row>
    <row r="84" spans="1:4" s="30" customFormat="1" ht="15.75" customHeight="1" x14ac:dyDescent="0.25">
      <c r="A84" s="345" t="s">
        <v>157</v>
      </c>
      <c r="B84" s="346"/>
      <c r="C84" s="346"/>
      <c r="D84" s="404"/>
    </row>
    <row r="85" spans="1:4" s="30" customFormat="1" ht="15.75" customHeight="1" x14ac:dyDescent="0.25">
      <c r="A85" s="273">
        <v>5</v>
      </c>
      <c r="B85" s="337" t="s">
        <v>24</v>
      </c>
      <c r="C85" s="338"/>
      <c r="D85" s="169" t="s">
        <v>10</v>
      </c>
    </row>
    <row r="86" spans="1:4" s="30" customFormat="1" ht="15.75" customHeight="1" x14ac:dyDescent="0.25">
      <c r="A86" s="194" t="s">
        <v>0</v>
      </c>
      <c r="B86" s="336" t="s">
        <v>208</v>
      </c>
      <c r="C86" s="336"/>
      <c r="D86" s="211">
        <f>Uniformes!H7</f>
        <v>33.93</v>
      </c>
    </row>
    <row r="87" spans="1:4" s="30" customFormat="1" ht="15.75" customHeight="1" x14ac:dyDescent="0.25">
      <c r="A87" s="194" t="s">
        <v>2</v>
      </c>
      <c r="B87" s="336" t="s">
        <v>209</v>
      </c>
      <c r="C87" s="336"/>
      <c r="D87" s="211">
        <f>Materiais!H21</f>
        <v>40.090000000000003</v>
      </c>
    </row>
    <row r="88" spans="1:4" s="30" customFormat="1" ht="15.75" customHeight="1" x14ac:dyDescent="0.25">
      <c r="A88" s="194" t="s">
        <v>3</v>
      </c>
      <c r="B88" s="336" t="s">
        <v>179</v>
      </c>
      <c r="C88" s="336"/>
      <c r="D88" s="211">
        <f>Equipamentos!H21</f>
        <v>765.63</v>
      </c>
    </row>
    <row r="89" spans="1:4" s="30" customFormat="1" ht="15.75" customHeight="1" x14ac:dyDescent="0.25">
      <c r="A89" s="194" t="s">
        <v>5</v>
      </c>
      <c r="B89" s="336" t="s">
        <v>132</v>
      </c>
      <c r="C89" s="336"/>
      <c r="D89" s="211">
        <v>0</v>
      </c>
    </row>
    <row r="90" spans="1:4" s="30" customFormat="1" ht="15.75" customHeight="1" x14ac:dyDescent="0.25">
      <c r="A90" s="341" t="s">
        <v>149</v>
      </c>
      <c r="B90" s="342"/>
      <c r="C90" s="342"/>
      <c r="D90" s="213">
        <f>SUM(D86:D89)</f>
        <v>839.65</v>
      </c>
    </row>
    <row r="91" spans="1:4" s="30" customFormat="1" ht="30" customHeight="1" x14ac:dyDescent="0.25">
      <c r="A91" s="339" t="s">
        <v>211</v>
      </c>
      <c r="B91" s="340"/>
      <c r="C91" s="340"/>
      <c r="D91" s="235">
        <f>D90+D83+D62+D54+D25</f>
        <v>11273.38</v>
      </c>
    </row>
    <row r="92" spans="1:4" s="30" customFormat="1" ht="19.5" customHeight="1" x14ac:dyDescent="0.25">
      <c r="A92" s="345" t="s">
        <v>158</v>
      </c>
      <c r="B92" s="346"/>
      <c r="C92" s="346"/>
      <c r="D92" s="404"/>
    </row>
    <row r="93" spans="1:4" s="30" customFormat="1" x14ac:dyDescent="0.25">
      <c r="A93" s="273">
        <v>6</v>
      </c>
      <c r="B93" s="364" t="s">
        <v>38</v>
      </c>
      <c r="C93" s="365"/>
      <c r="D93" s="169" t="s">
        <v>10</v>
      </c>
    </row>
    <row r="94" spans="1:4" s="30" customFormat="1" x14ac:dyDescent="0.25">
      <c r="A94" s="170" t="s">
        <v>0</v>
      </c>
      <c r="B94" s="272" t="s">
        <v>39</v>
      </c>
      <c r="C94" s="216">
        <v>0.05</v>
      </c>
      <c r="D94" s="211">
        <f>+D91*C94</f>
        <v>563.66999999999996</v>
      </c>
    </row>
    <row r="95" spans="1:4" s="30" customFormat="1" x14ac:dyDescent="0.25">
      <c r="A95" s="170" t="s">
        <v>2</v>
      </c>
      <c r="B95" s="272" t="s">
        <v>40</v>
      </c>
      <c r="C95" s="216">
        <v>0.1</v>
      </c>
      <c r="D95" s="211">
        <f>C95*(+D91+D94)</f>
        <v>1183.71</v>
      </c>
    </row>
    <row r="96" spans="1:4" s="30" customFormat="1" ht="30" x14ac:dyDescent="0.25">
      <c r="A96" s="170"/>
      <c r="B96" s="272" t="s">
        <v>47</v>
      </c>
      <c r="C96" s="172">
        <f>1-C103</f>
        <v>0.85750000000000004</v>
      </c>
      <c r="D96" s="211">
        <f>+D91+D94+D95</f>
        <v>13020.76</v>
      </c>
    </row>
    <row r="97" spans="1:4" s="30" customFormat="1" x14ac:dyDescent="0.25">
      <c r="A97" s="170"/>
      <c r="B97" s="272"/>
      <c r="C97" s="40"/>
      <c r="D97" s="237">
        <f>+D96/C96</f>
        <v>15184.56</v>
      </c>
    </row>
    <row r="98" spans="1:4" s="30" customFormat="1" x14ac:dyDescent="0.25">
      <c r="A98" s="170" t="s">
        <v>3</v>
      </c>
      <c r="B98" s="272" t="s">
        <v>41</v>
      </c>
      <c r="C98" s="217">
        <f>C100+C101+C102</f>
        <v>0.14249999999999999</v>
      </c>
      <c r="D98" s="237"/>
    </row>
    <row r="99" spans="1:4" s="30" customFormat="1" x14ac:dyDescent="0.25">
      <c r="A99" s="170" t="s">
        <v>284</v>
      </c>
      <c r="B99" s="272" t="s">
        <v>280</v>
      </c>
      <c r="C99" s="254">
        <f>C100+C101</f>
        <v>9.2499999999999999E-2</v>
      </c>
      <c r="D99" s="211"/>
    </row>
    <row r="100" spans="1:4" s="30" customFormat="1" x14ac:dyDescent="0.25">
      <c r="A100" s="170" t="s">
        <v>285</v>
      </c>
      <c r="B100" s="278" t="s">
        <v>281</v>
      </c>
      <c r="C100" s="172">
        <v>1.6500000000000001E-2</v>
      </c>
      <c r="D100" s="211">
        <f>+D97*C100</f>
        <v>250.55</v>
      </c>
    </row>
    <row r="101" spans="1:4" s="30" customFormat="1" x14ac:dyDescent="0.25">
      <c r="A101" s="170" t="s">
        <v>286</v>
      </c>
      <c r="B101" s="278" t="s">
        <v>282</v>
      </c>
      <c r="C101" s="172">
        <v>7.5999999999999998E-2</v>
      </c>
      <c r="D101" s="211">
        <f>+D97*C101</f>
        <v>1154.03</v>
      </c>
    </row>
    <row r="102" spans="1:4" s="30" customFormat="1" x14ac:dyDescent="0.25">
      <c r="A102" s="170" t="s">
        <v>287</v>
      </c>
      <c r="B102" s="278" t="s">
        <v>283</v>
      </c>
      <c r="C102" s="172">
        <v>0.05</v>
      </c>
      <c r="D102" s="211">
        <f>+D97*C102</f>
        <v>759.23</v>
      </c>
    </row>
    <row r="103" spans="1:4" s="30" customFormat="1" x14ac:dyDescent="0.25">
      <c r="A103" s="273"/>
      <c r="B103" s="220" t="s">
        <v>42</v>
      </c>
      <c r="C103" s="221">
        <f>C98</f>
        <v>0.14249999999999999</v>
      </c>
      <c r="D103" s="211">
        <f>SUM(D100:D102)</f>
        <v>2163.81</v>
      </c>
    </row>
    <row r="104" spans="1:4" s="30" customFormat="1" ht="15.75" customHeight="1" x14ac:dyDescent="0.25">
      <c r="A104" s="361" t="s">
        <v>43</v>
      </c>
      <c r="B104" s="362"/>
      <c r="C104" s="362"/>
      <c r="D104" s="59">
        <f>+D94+D95+D103</f>
        <v>3911.19</v>
      </c>
    </row>
    <row r="105" spans="1:4" s="30" customFormat="1" ht="15.75" customHeight="1" x14ac:dyDescent="0.25">
      <c r="A105" s="401" t="s">
        <v>44</v>
      </c>
      <c r="B105" s="402"/>
      <c r="C105" s="402"/>
      <c r="D105" s="239" t="s">
        <v>10</v>
      </c>
    </row>
    <row r="106" spans="1:4" s="30" customFormat="1" x14ac:dyDescent="0.25">
      <c r="A106" s="170" t="s">
        <v>0</v>
      </c>
      <c r="B106" s="369" t="s">
        <v>45</v>
      </c>
      <c r="C106" s="369"/>
      <c r="D106" s="211">
        <f>+D25</f>
        <v>5949.8</v>
      </c>
    </row>
    <row r="107" spans="1:4" s="30" customFormat="1" x14ac:dyDescent="0.25">
      <c r="A107" s="170" t="s">
        <v>2</v>
      </c>
      <c r="B107" s="369" t="s">
        <v>152</v>
      </c>
      <c r="C107" s="369"/>
      <c r="D107" s="211">
        <f>+D54</f>
        <v>3771.81</v>
      </c>
    </row>
    <row r="108" spans="1:4" s="30" customFormat="1" x14ac:dyDescent="0.25">
      <c r="A108" s="170" t="s">
        <v>3</v>
      </c>
      <c r="B108" s="369" t="s">
        <v>150</v>
      </c>
      <c r="C108" s="369"/>
      <c r="D108" s="211">
        <f>D62</f>
        <v>428.98</v>
      </c>
    </row>
    <row r="109" spans="1:4" s="30" customFormat="1" x14ac:dyDescent="0.25">
      <c r="A109" s="170" t="s">
        <v>5</v>
      </c>
      <c r="B109" s="369" t="s">
        <v>143</v>
      </c>
      <c r="C109" s="369"/>
      <c r="D109" s="211">
        <f>D83</f>
        <v>283.14</v>
      </c>
    </row>
    <row r="110" spans="1:4" s="30" customFormat="1" x14ac:dyDescent="0.25">
      <c r="A110" s="170" t="s">
        <v>20</v>
      </c>
      <c r="B110" s="369" t="s">
        <v>151</v>
      </c>
      <c r="C110" s="369"/>
      <c r="D110" s="211">
        <f>D90</f>
        <v>839.65</v>
      </c>
    </row>
    <row r="111" spans="1:4" s="30" customFormat="1" ht="15.75" customHeight="1" x14ac:dyDescent="0.25">
      <c r="A111" s="370" t="s">
        <v>289</v>
      </c>
      <c r="B111" s="364"/>
      <c r="C111" s="364"/>
      <c r="D111" s="223">
        <f>SUM(D106:D110)</f>
        <v>11273.38</v>
      </c>
    </row>
    <row r="112" spans="1:4" s="30" customFormat="1" x14ac:dyDescent="0.25">
      <c r="A112" s="170" t="s">
        <v>21</v>
      </c>
      <c r="B112" s="409" t="s">
        <v>154</v>
      </c>
      <c r="C112" s="409"/>
      <c r="D112" s="211">
        <f>+D104</f>
        <v>3911.19</v>
      </c>
    </row>
    <row r="113" spans="1:4" s="30" customFormat="1" ht="16.5" customHeight="1" thickBot="1" x14ac:dyDescent="0.3">
      <c r="A113" s="353" t="s">
        <v>46</v>
      </c>
      <c r="B113" s="354"/>
      <c r="C113" s="354"/>
      <c r="D113" s="241">
        <f>+D111+D112</f>
        <v>15184.57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126</v>
      </c>
    </row>
    <row r="117" spans="1:4" x14ac:dyDescent="0.25">
      <c r="B117" s="28"/>
      <c r="C117" s="366"/>
      <c r="D117" s="366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3">
    <mergeCell ref="C6:D6"/>
    <mergeCell ref="A1:D1"/>
    <mergeCell ref="A2:D2"/>
    <mergeCell ref="A3:D3"/>
    <mergeCell ref="C4:D4"/>
    <mergeCell ref="C5:D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A55:D55"/>
    <mergeCell ref="A26:D26"/>
    <mergeCell ref="B27:C27"/>
    <mergeCell ref="A30:B30"/>
    <mergeCell ref="A31:D31"/>
    <mergeCell ref="B32:C32"/>
    <mergeCell ref="A41:B41"/>
    <mergeCell ref="A42:D42"/>
    <mergeCell ref="B43:C43"/>
    <mergeCell ref="A49:C49"/>
    <mergeCell ref="A50:D50"/>
    <mergeCell ref="A54:C54"/>
    <mergeCell ref="A83:C83"/>
    <mergeCell ref="B56:C56"/>
    <mergeCell ref="A63:D63"/>
    <mergeCell ref="B64:C64"/>
    <mergeCell ref="A72:B72"/>
    <mergeCell ref="B74:C74"/>
    <mergeCell ref="A76:B76"/>
    <mergeCell ref="A77:D77"/>
    <mergeCell ref="A78:D78"/>
    <mergeCell ref="B79:C79"/>
    <mergeCell ref="A82:B82"/>
    <mergeCell ref="A62:B62"/>
    <mergeCell ref="A104:C104"/>
    <mergeCell ref="A84:D84"/>
    <mergeCell ref="B85:C85"/>
    <mergeCell ref="B86:C86"/>
    <mergeCell ref="B87:C87"/>
    <mergeCell ref="B88:C88"/>
    <mergeCell ref="B89:C89"/>
    <mergeCell ref="A90:C90"/>
    <mergeCell ref="A91:C91"/>
    <mergeCell ref="A92:D92"/>
    <mergeCell ref="B93:C93"/>
    <mergeCell ref="A111:C111"/>
    <mergeCell ref="B112:C112"/>
    <mergeCell ref="A113:C113"/>
    <mergeCell ref="C117:D117"/>
    <mergeCell ref="A105:C105"/>
    <mergeCell ref="B106:C106"/>
    <mergeCell ref="B107:C107"/>
    <mergeCell ref="B108:C108"/>
    <mergeCell ref="B109:C109"/>
    <mergeCell ref="B110:C110"/>
  </mergeCells>
  <hyperlinks>
    <hyperlink ref="B38" r:id="rId1" display="08 - Sebrae 0,3% ou 0,6% - IN nº 03, MPS/SRP/2005, Anexo II e III ver código da Tabela" xr:uid="{00000000-0004-0000-08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2025-04-24T17:25:04Z</cp:lastPrinted>
  <dcterms:created xsi:type="dcterms:W3CDTF">2014-04-11T01:53:38Z</dcterms:created>
  <dcterms:modified xsi:type="dcterms:W3CDTF">2025-05-18T00:20:48Z</dcterms:modified>
</cp:coreProperties>
</file>